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65" windowWidth="15960" windowHeight="11040"/>
  </bookViews>
  <sheets>
    <sheet name="Tryk &lt;100mbar (GR.A)" sheetId="1" r:id="rId1"/>
    <sheet name="Tryk &gt;100 mbar (GR.B-4)" sheetId="2" r:id="rId2"/>
    <sheet name="indvendig diameter" sheetId="3" r:id="rId3"/>
    <sheet name="gashastighed" sheetId="4" r:id="rId4"/>
    <sheet name="EKS 1 side 145 B-4" sheetId="5" r:id="rId5"/>
    <sheet name="EKS 2 side 146 B-4" sheetId="6" r:id="rId6"/>
    <sheet name="EKS 3 side 147 B-4" sheetId="7" r:id="rId7"/>
    <sheet name="gul" sheetId="8" r:id="rId8"/>
    <sheet name="grøn" sheetId="9" r:id="rId9"/>
    <sheet name="blå" sheetId="10" r:id="rId10"/>
    <sheet name="pink" sheetId="11" r:id="rId11"/>
    <sheet name="orange" sheetId="12" r:id="rId12"/>
  </sheets>
  <calcPr calcId="145621"/>
</workbook>
</file>

<file path=xl/calcChain.xml><?xml version="1.0" encoding="utf-8"?>
<calcChain xmlns="http://schemas.openxmlformats.org/spreadsheetml/2006/main">
  <c r="F42" i="12" l="1"/>
  <c r="F36" i="12"/>
  <c r="F35" i="12"/>
  <c r="F34" i="12"/>
  <c r="F105" i="12" s="1"/>
  <c r="F33" i="12"/>
  <c r="G17" i="12" s="1"/>
  <c r="F41" i="12" s="1"/>
  <c r="F32" i="12"/>
  <c r="E25" i="12"/>
  <c r="F36" i="11"/>
  <c r="F35" i="11"/>
  <c r="F34" i="11"/>
  <c r="F105" i="11" s="1"/>
  <c r="F33" i="11"/>
  <c r="F42" i="11" s="1"/>
  <c r="F32" i="11"/>
  <c r="E25" i="11"/>
  <c r="G17" i="11"/>
  <c r="F41" i="11" s="1"/>
  <c r="I92" i="10"/>
  <c r="C92" i="10"/>
  <c r="F83" i="10"/>
  <c r="G92" i="10" s="1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F43" i="10"/>
  <c r="F46" i="10" s="1"/>
  <c r="E92" i="10" s="1"/>
  <c r="E35" i="10"/>
  <c r="F21" i="10"/>
  <c r="F20" i="10"/>
  <c r="F19" i="10"/>
  <c r="F18" i="10"/>
  <c r="F17" i="10"/>
  <c r="E34" i="10" s="1"/>
  <c r="B92" i="10" s="1"/>
  <c r="F105" i="9"/>
  <c r="F41" i="9"/>
  <c r="F36" i="9"/>
  <c r="F35" i="9"/>
  <c r="F34" i="9"/>
  <c r="F33" i="9"/>
  <c r="F42" i="9" s="1"/>
  <c r="F32" i="9"/>
  <c r="E25" i="9"/>
  <c r="G17" i="9"/>
  <c r="F41" i="8"/>
  <c r="F36" i="8"/>
  <c r="F35" i="8"/>
  <c r="F34" i="8"/>
  <c r="F105" i="8" s="1"/>
  <c r="F33" i="8"/>
  <c r="F42" i="8" s="1"/>
  <c r="F32" i="8"/>
  <c r="E25" i="8"/>
  <c r="G17" i="8"/>
  <c r="F105" i="2"/>
  <c r="K73" i="10" l="1"/>
  <c r="F45" i="10"/>
  <c r="F110" i="12"/>
  <c r="F111" i="12" s="1"/>
  <c r="F112" i="12" s="1"/>
  <c r="F113" i="12" s="1"/>
  <c r="F114" i="12" s="1"/>
  <c r="F115" i="12" s="1"/>
  <c r="F116" i="12" s="1"/>
  <c r="F117" i="12" s="1"/>
  <c r="F118" i="12" s="1"/>
  <c r="F102" i="12"/>
  <c r="B126" i="12" s="1"/>
  <c r="F46" i="12"/>
  <c r="F47" i="12" s="1"/>
  <c r="F110" i="11"/>
  <c r="F111" i="11" s="1"/>
  <c r="F112" i="11" s="1"/>
  <c r="F113" i="11" s="1"/>
  <c r="F114" i="11" s="1"/>
  <c r="F115" i="11" s="1"/>
  <c r="F116" i="11" s="1"/>
  <c r="F117" i="11" s="1"/>
  <c r="F118" i="11" s="1"/>
  <c r="F46" i="11"/>
  <c r="F47" i="11" s="1"/>
  <c r="F102" i="11"/>
  <c r="B126" i="11" s="1"/>
  <c r="F75" i="10"/>
  <c r="F92" i="10" s="1"/>
  <c r="H92" i="10" s="1"/>
  <c r="F110" i="9"/>
  <c r="F111" i="9" s="1"/>
  <c r="F112" i="9" s="1"/>
  <c r="F113" i="9" s="1"/>
  <c r="F114" i="9" s="1"/>
  <c r="F115" i="9" s="1"/>
  <c r="F116" i="9" s="1"/>
  <c r="F117" i="9" s="1"/>
  <c r="F118" i="9" s="1"/>
  <c r="F46" i="9"/>
  <c r="F73" i="9" s="1"/>
  <c r="F102" i="9"/>
  <c r="B126" i="9" s="1"/>
  <c r="F110" i="8"/>
  <c r="F111" i="8" s="1"/>
  <c r="F112" i="8" s="1"/>
  <c r="F113" i="8" s="1"/>
  <c r="F114" i="8" s="1"/>
  <c r="F115" i="8" s="1"/>
  <c r="F116" i="8" s="1"/>
  <c r="F117" i="8" s="1"/>
  <c r="F118" i="8" s="1"/>
  <c r="F46" i="8"/>
  <c r="F102" i="8"/>
  <c r="B126" i="8" s="1"/>
  <c r="F43" i="1"/>
  <c r="F83" i="1"/>
  <c r="F70" i="7"/>
  <c r="F123" i="7"/>
  <c r="F43" i="7"/>
  <c r="F37" i="7"/>
  <c r="F36" i="7"/>
  <c r="F35" i="7"/>
  <c r="F106" i="7" s="1"/>
  <c r="F34" i="7"/>
  <c r="F33" i="7"/>
  <c r="E26" i="7"/>
  <c r="G18" i="7"/>
  <c r="F42" i="7" s="1"/>
  <c r="F37" i="6"/>
  <c r="F36" i="6"/>
  <c r="F35" i="6"/>
  <c r="F34" i="6"/>
  <c r="F43" i="6" s="1"/>
  <c r="F33" i="6"/>
  <c r="E26" i="6"/>
  <c r="G18" i="6"/>
  <c r="F42" i="6" s="1"/>
  <c r="F43" i="5"/>
  <c r="F37" i="5"/>
  <c r="F36" i="5"/>
  <c r="F35" i="5"/>
  <c r="F106" i="5" s="1"/>
  <c r="F34" i="5"/>
  <c r="E26" i="5"/>
  <c r="G18" i="5"/>
  <c r="F42" i="5" s="1"/>
  <c r="G73" i="12" l="1"/>
  <c r="F73" i="12"/>
  <c r="F119" i="12" s="1"/>
  <c r="F91" i="12"/>
  <c r="F65" i="12"/>
  <c r="G73" i="11"/>
  <c r="F91" i="11"/>
  <c r="F65" i="11"/>
  <c r="F73" i="1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B94" i="10"/>
  <c r="J92" i="10"/>
  <c r="F65" i="9"/>
  <c r="F47" i="9"/>
  <c r="F91" i="9"/>
  <c r="G73" i="9"/>
  <c r="F78" i="9"/>
  <c r="F79" i="9" s="1"/>
  <c r="F80" i="9" s="1"/>
  <c r="F81" i="9" s="1"/>
  <c r="F82" i="9" s="1"/>
  <c r="F83" i="9" s="1"/>
  <c r="F84" i="9" s="1"/>
  <c r="F85" i="9" s="1"/>
  <c r="F86" i="9" s="1"/>
  <c r="F87" i="9" s="1"/>
  <c r="F119" i="9"/>
  <c r="G73" i="8"/>
  <c r="F47" i="8"/>
  <c r="F73" i="8"/>
  <c r="F119" i="8" s="1"/>
  <c r="F78" i="8"/>
  <c r="F79" i="8" s="1"/>
  <c r="F80" i="8" s="1"/>
  <c r="F81" i="8" s="1"/>
  <c r="F82" i="8" s="1"/>
  <c r="F83" i="8" s="1"/>
  <c r="F84" i="8" s="1"/>
  <c r="F85" i="8" s="1"/>
  <c r="F86" i="8" s="1"/>
  <c r="F87" i="8" s="1"/>
  <c r="F91" i="8"/>
  <c r="F65" i="8"/>
  <c r="F103" i="7"/>
  <c r="B127" i="7" s="1"/>
  <c r="F47" i="7"/>
  <c r="F48" i="7" s="1"/>
  <c r="F111" i="7"/>
  <c r="F112" i="7" s="1"/>
  <c r="F113" i="7" s="1"/>
  <c r="F114" i="7" s="1"/>
  <c r="F115" i="7" s="1"/>
  <c r="F116" i="7" s="1"/>
  <c r="F117" i="7" s="1"/>
  <c r="F118" i="7" s="1"/>
  <c r="F119" i="7" s="1"/>
  <c r="F47" i="6"/>
  <c r="F92" i="6" s="1"/>
  <c r="F66" i="6"/>
  <c r="F70" i="6" s="1"/>
  <c r="F106" i="6"/>
  <c r="F111" i="6" s="1"/>
  <c r="F112" i="6" s="1"/>
  <c r="F113" i="6" s="1"/>
  <c r="F114" i="6" s="1"/>
  <c r="F115" i="6" s="1"/>
  <c r="F116" i="6" s="1"/>
  <c r="F117" i="6" s="1"/>
  <c r="F118" i="6" s="1"/>
  <c r="F119" i="6" s="1"/>
  <c r="F103" i="6"/>
  <c r="B127" i="6" s="1"/>
  <c r="F103" i="5"/>
  <c r="B127" i="5" s="1"/>
  <c r="F47" i="5"/>
  <c r="F74" i="5"/>
  <c r="F111" i="5"/>
  <c r="F112" i="5" s="1"/>
  <c r="F113" i="5" s="1"/>
  <c r="F114" i="5" s="1"/>
  <c r="F115" i="5" s="1"/>
  <c r="F116" i="5" s="1"/>
  <c r="F117" i="5" s="1"/>
  <c r="F118" i="5" s="1"/>
  <c r="F119" i="5" s="1"/>
  <c r="G17" i="2"/>
  <c r="F41" i="2" s="1"/>
  <c r="F78" i="12" l="1"/>
  <c r="F79" i="12" s="1"/>
  <c r="F80" i="12" s="1"/>
  <c r="F81" i="12" s="1"/>
  <c r="F82" i="12" s="1"/>
  <c r="F83" i="12" s="1"/>
  <c r="F84" i="12" s="1"/>
  <c r="F85" i="12" s="1"/>
  <c r="F86" i="12" s="1"/>
  <c r="F87" i="12" s="1"/>
  <c r="F122" i="12"/>
  <c r="B124" i="12" s="1"/>
  <c r="F69" i="12"/>
  <c r="F119" i="11"/>
  <c r="F122" i="11" s="1"/>
  <c r="B124" i="11" s="1"/>
  <c r="F69" i="11"/>
  <c r="F90" i="11" s="1"/>
  <c r="F122" i="9"/>
  <c r="B124" i="9" s="1"/>
  <c r="F69" i="9"/>
  <c r="F90" i="9" s="1"/>
  <c r="F69" i="8"/>
  <c r="F90" i="8" s="1"/>
  <c r="F122" i="8"/>
  <c r="B124" i="8" s="1"/>
  <c r="F74" i="7"/>
  <c r="F79" i="7" s="1"/>
  <c r="F80" i="7" s="1"/>
  <c r="F81" i="7" s="1"/>
  <c r="F82" i="7" s="1"/>
  <c r="G74" i="7"/>
  <c r="F66" i="7"/>
  <c r="F92" i="7"/>
  <c r="F83" i="7"/>
  <c r="F84" i="7" s="1"/>
  <c r="F85" i="7" s="1"/>
  <c r="F86" i="7" s="1"/>
  <c r="F87" i="7" s="1"/>
  <c r="F88" i="7" s="1"/>
  <c r="F120" i="7"/>
  <c r="F74" i="6"/>
  <c r="F120" i="6" s="1"/>
  <c r="G74" i="6"/>
  <c r="F48" i="6"/>
  <c r="F79" i="5"/>
  <c r="F120" i="5"/>
  <c r="F66" i="5"/>
  <c r="F92" i="5"/>
  <c r="G74" i="5"/>
  <c r="F80" i="5"/>
  <c r="F81" i="5"/>
  <c r="F82" i="5" s="1"/>
  <c r="F83" i="5" s="1"/>
  <c r="F84" i="5" s="1"/>
  <c r="F85" i="5" s="1"/>
  <c r="F86" i="5" s="1"/>
  <c r="F87" i="5" s="1"/>
  <c r="F88" i="5" s="1"/>
  <c r="F48" i="5"/>
  <c r="F12" i="4"/>
  <c r="F90" i="12" l="1"/>
  <c r="F99" i="12" s="1"/>
  <c r="F99" i="11"/>
  <c r="B93" i="11"/>
  <c r="F99" i="9"/>
  <c r="B93" i="9"/>
  <c r="F99" i="8"/>
  <c r="B93" i="8"/>
  <c r="B125" i="7"/>
  <c r="F91" i="7"/>
  <c r="F123" i="6"/>
  <c r="B125" i="6" s="1"/>
  <c r="F79" i="6"/>
  <c r="F80" i="6" s="1"/>
  <c r="F81" i="6" s="1"/>
  <c r="F82" i="6" s="1"/>
  <c r="F83" i="6" s="1"/>
  <c r="F84" i="6" s="1"/>
  <c r="F85" i="6" s="1"/>
  <c r="F86" i="6" s="1"/>
  <c r="F87" i="6" s="1"/>
  <c r="F88" i="6" s="1"/>
  <c r="F91" i="6" s="1"/>
  <c r="F100" i="6" s="1"/>
  <c r="F123" i="5"/>
  <c r="B125" i="5" s="1"/>
  <c r="F70" i="5"/>
  <c r="F91" i="5" s="1"/>
  <c r="E35" i="1"/>
  <c r="B93" i="12" l="1"/>
  <c r="B94" i="7"/>
  <c r="F100" i="7"/>
  <c r="B94" i="6"/>
  <c r="B94" i="5"/>
  <c r="F100" i="5"/>
  <c r="F34" i="2"/>
  <c r="E25" i="2"/>
  <c r="F36" i="2" l="1"/>
  <c r="F35" i="2"/>
  <c r="F33" i="2"/>
  <c r="F42" i="2" s="1"/>
  <c r="F32" i="2"/>
  <c r="F102" i="2" s="1"/>
  <c r="B126" i="2" s="1"/>
  <c r="F46" i="2" l="1"/>
  <c r="F73" i="2" s="1"/>
  <c r="E14" i="4"/>
  <c r="F91" i="2" l="1"/>
  <c r="G73" i="2"/>
  <c r="F65" i="2"/>
  <c r="F78" i="2"/>
  <c r="F79" i="2" s="1"/>
  <c r="F80" i="2" s="1"/>
  <c r="F81" i="2" s="1"/>
  <c r="F82" i="2" s="1"/>
  <c r="F83" i="2" s="1"/>
  <c r="F84" i="2" s="1"/>
  <c r="F85" i="2" s="1"/>
  <c r="F86" i="2" s="1"/>
  <c r="F87" i="2" s="1"/>
  <c r="F47" i="2"/>
  <c r="I92" i="1"/>
  <c r="C92" i="1"/>
  <c r="F69" i="2" l="1"/>
  <c r="F90" i="2" s="1"/>
  <c r="F99" i="2" s="1"/>
  <c r="G92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F21" i="1"/>
  <c r="F20" i="1"/>
  <c r="F19" i="1"/>
  <c r="F18" i="1"/>
  <c r="F17" i="1"/>
  <c r="E34" i="1" s="1"/>
  <c r="B93" i="2" l="1"/>
  <c r="F110" i="2"/>
  <c r="F111" i="2" s="1"/>
  <c r="F112" i="2" s="1"/>
  <c r="F113" i="2" s="1"/>
  <c r="F114" i="2" s="1"/>
  <c r="F115" i="2" s="1"/>
  <c r="F116" i="2" s="1"/>
  <c r="F117" i="2" s="1"/>
  <c r="F118" i="2" s="1"/>
  <c r="F119" i="2" s="1"/>
  <c r="F122" i="2" s="1"/>
  <c r="F45" i="1"/>
  <c r="B92" i="1"/>
  <c r="K73" i="1"/>
  <c r="F75" i="1" s="1"/>
  <c r="F92" i="1" s="1"/>
  <c r="F46" i="1"/>
  <c r="E92" i="1" s="1"/>
  <c r="B124" i="2" l="1"/>
  <c r="H92" i="1"/>
  <c r="J92" i="1" l="1"/>
  <c r="B94" i="1"/>
</calcChain>
</file>

<file path=xl/sharedStrings.xml><?xml version="1.0" encoding="utf-8"?>
<sst xmlns="http://schemas.openxmlformats.org/spreadsheetml/2006/main" count="1843" uniqueCount="222">
  <si>
    <t>Øvre brændværdi</t>
  </si>
  <si>
    <t>Hø</t>
  </si>
  <si>
    <t>[kJ/m³]</t>
  </si>
  <si>
    <t>Relativ densitet</t>
  </si>
  <si>
    <t>d</t>
  </si>
  <si>
    <t>[-]</t>
  </si>
  <si>
    <t>Dynamisk viskositet (ved t°C)</t>
  </si>
  <si>
    <t>[bar*s*10E-9]</t>
  </si>
  <si>
    <t>Temperatur</t>
  </si>
  <si>
    <t>t</t>
  </si>
  <si>
    <t>[°C]</t>
  </si>
  <si>
    <t>Tryktab i rørledninger</t>
  </si>
  <si>
    <t>Ledningslængde</t>
  </si>
  <si>
    <t>L</t>
  </si>
  <si>
    <t>Rørets indv. Diam.</t>
  </si>
  <si>
    <t>Di</t>
  </si>
  <si>
    <t>Gasflow</t>
  </si>
  <si>
    <t>V</t>
  </si>
  <si>
    <t>ϱ</t>
  </si>
  <si>
    <t>λ</t>
  </si>
  <si>
    <t>k</t>
  </si>
  <si>
    <t>η</t>
  </si>
  <si>
    <r>
      <rPr>
        <sz val="10"/>
        <color indexed="8"/>
        <rFont val="Calibri"/>
        <family val="2"/>
      </rPr>
      <t>∆</t>
    </r>
    <r>
      <rPr>
        <sz val="10"/>
        <color indexed="8"/>
        <rFont val="Arial"/>
        <family val="2"/>
      </rPr>
      <t>P</t>
    </r>
  </si>
  <si>
    <t>Gastryk start</t>
  </si>
  <si>
    <t>P</t>
  </si>
  <si>
    <t>plastrør, nye</t>
  </si>
  <si>
    <t>PE, diameter&lt;200mm</t>
  </si>
  <si>
    <t>PE diameter&gt;200 mm</t>
  </si>
  <si>
    <t>Stålrør</t>
  </si>
  <si>
    <t>trukne stålrør, nye</t>
  </si>
  <si>
    <t>svejste stålrør, nye</t>
  </si>
  <si>
    <t>svejste stålrør, med afsætning</t>
  </si>
  <si>
    <t>sandblæste stålrør</t>
  </si>
  <si>
    <t>Rørtype</t>
  </si>
  <si>
    <t>Ækv. sandruhed k</t>
  </si>
  <si>
    <t>(Gasreglement A, Bilag 9A side 167)</t>
  </si>
  <si>
    <t>Gastype</t>
  </si>
  <si>
    <t>Propan</t>
  </si>
  <si>
    <t>Naturgas</t>
  </si>
  <si>
    <t>Angiv gastype ved at sætte x i tilhørende grøn felt</t>
  </si>
  <si>
    <t>Nedre brændværdi</t>
  </si>
  <si>
    <t>Hn</t>
  </si>
  <si>
    <t>x</t>
  </si>
  <si>
    <t>[kg/m³]</t>
  </si>
  <si>
    <t>Gasværdier</t>
  </si>
  <si>
    <t>Gassens massefylde</t>
  </si>
  <si>
    <t>Modstandskoefficient</t>
  </si>
  <si>
    <t>[mbar]</t>
  </si>
  <si>
    <t>Tryktab per løbende meter</t>
  </si>
  <si>
    <t>Tryktab over L meter</t>
  </si>
  <si>
    <t>Tryktab i enkeltmodstande</t>
  </si>
  <si>
    <t xml:space="preserve">Ækvivalent sandruhed </t>
  </si>
  <si>
    <t>Trykændring på grund af højdeforskel</t>
  </si>
  <si>
    <t>Lysningsdiameter</t>
  </si>
  <si>
    <t>Formindskelsesstykke</t>
  </si>
  <si>
    <t>Etagebøjning</t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</si>
  <si>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vinkel</t>
    </r>
  </si>
  <si>
    <r>
      <rPr>
        <sz val="10"/>
        <color indexed="8"/>
        <rFont val="Calibri"/>
        <family val="2"/>
      </rPr>
      <t>45°</t>
    </r>
    <r>
      <rPr>
        <sz val="10"/>
        <color indexed="8"/>
        <rFont val="Arial"/>
        <family val="2"/>
      </rPr>
      <t xml:space="preserve"> vinkel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</si>
  <si>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bøjning</t>
    </r>
  </si>
  <si>
    <r>
      <rPr>
        <sz val="10"/>
        <color indexed="8"/>
        <rFont val="Calibri"/>
        <family val="2"/>
      </rPr>
      <t>45°</t>
    </r>
    <r>
      <rPr>
        <sz val="10"/>
        <color indexed="8"/>
        <rFont val="Arial"/>
        <family val="2"/>
      </rPr>
      <t xml:space="preserve"> bøjning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</si>
  <si>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T-vinkel, gennemgang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</si>
  <si>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T-vinkel, afbøjning</t>
    </r>
  </si>
  <si>
    <t>T-bøjning, gennemgang</t>
  </si>
  <si>
    <t>T-bøjning, afbøjning</t>
  </si>
  <si>
    <t>Rensebøjning</t>
  </si>
  <si>
    <t>T-stykke, modstrøm</t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</si>
  <si>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kryds, gennemgang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</si>
  <si>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kryds, afbøjning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</si>
  <si>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rensekryds, gennemgang</t>
    </r>
  </si>
  <si>
    <r>
      <t>90</t>
    </r>
    <r>
      <rPr>
        <sz val="10"/>
        <color indexed="8"/>
        <rFont val="Calibri"/>
        <family val="2"/>
      </rPr>
      <t>°</t>
    </r>
    <r>
      <rPr>
        <sz val="10"/>
        <color indexed="8"/>
        <rFont val="Arial"/>
        <family val="2"/>
      </rPr>
      <t xml:space="preserve"> rensekryds, afbøjning</t>
    </r>
  </si>
  <si>
    <t>Kuglehane</t>
  </si>
  <si>
    <t>Vinkelhane</t>
  </si>
  <si>
    <t>ventil</t>
  </si>
  <si>
    <r>
      <t>90</t>
    </r>
    <r>
      <rPr>
        <sz val="10"/>
        <color indexed="8"/>
        <rFont val="Calibri"/>
        <family val="2"/>
      </rPr>
      <t>° rense-</t>
    </r>
    <r>
      <rPr>
        <sz val="10"/>
        <color indexed="8"/>
        <rFont val="Arial"/>
        <family val="2"/>
      </rPr>
      <t xml:space="preserve"> T</t>
    </r>
  </si>
  <si>
    <r>
      <t>90</t>
    </r>
    <r>
      <rPr>
        <sz val="10"/>
        <color indexed="8"/>
        <rFont val="Calibri"/>
        <family val="2"/>
      </rPr>
      <t>° T-stykke, modstrøm</t>
    </r>
  </si>
  <si>
    <t>Samlet ekvivalent længde</t>
  </si>
  <si>
    <t>INDTAST ANTAL AF ENKELTMODSTANDE I SKEMAET</t>
  </si>
  <si>
    <t>Typer af enkeltmodstande</t>
  </si>
  <si>
    <t>[m]</t>
  </si>
  <si>
    <t>Ækvivalent Længde</t>
  </si>
  <si>
    <t>Tryktab over enkeltmodstande</t>
  </si>
  <si>
    <t>Indtast værdier i grønne felter</t>
  </si>
  <si>
    <t>Resulterende højdeforskel for strengen</t>
  </si>
  <si>
    <t>Tryktab på grund af højdeforskel</t>
  </si>
  <si>
    <t>Belastning ud fra gasflow</t>
  </si>
  <si>
    <t>Samlet tryktab for strengen</t>
  </si>
  <si>
    <t>Belastning</t>
  </si>
  <si>
    <t>Rørdiameter</t>
  </si>
  <si>
    <t>ΔP₁</t>
  </si>
  <si>
    <r>
      <t>ΔP</t>
    </r>
    <r>
      <rPr>
        <sz val="10"/>
        <color indexed="8"/>
        <rFont val="Calibri"/>
        <family val="2"/>
      </rPr>
      <t>₂</t>
    </r>
  </si>
  <si>
    <r>
      <t>ΔP</t>
    </r>
    <r>
      <rPr>
        <sz val="10"/>
        <color indexed="8"/>
        <rFont val="Calibri"/>
        <family val="2"/>
      </rPr>
      <t>₃</t>
    </r>
  </si>
  <si>
    <r>
      <t xml:space="preserve">SUM </t>
    </r>
    <r>
      <rPr>
        <sz val="10"/>
        <color indexed="8"/>
        <rFont val="Calibri"/>
        <family val="2"/>
      </rPr>
      <t>Δ</t>
    </r>
    <r>
      <rPr>
        <sz val="10"/>
        <color indexed="8"/>
        <rFont val="Arial"/>
        <family val="2"/>
      </rPr>
      <t>P</t>
    </r>
  </si>
  <si>
    <t>Start tryk P</t>
  </si>
  <si>
    <t>Slut tryk p</t>
  </si>
  <si>
    <r>
      <rPr>
        <sz val="10"/>
        <color indexed="8"/>
        <rFont val="Calibri"/>
        <family val="2"/>
      </rPr>
      <t>∆</t>
    </r>
    <r>
      <rPr>
        <sz val="10"/>
        <color indexed="8"/>
        <rFont val="Arial"/>
        <family val="2"/>
      </rPr>
      <t>P</t>
    </r>
    <r>
      <rPr>
        <sz val="10"/>
        <color indexed="8"/>
        <rFont val="Calibri"/>
        <family val="2"/>
      </rPr>
      <t>₂</t>
    </r>
  </si>
  <si>
    <r>
      <rPr>
        <sz val="10"/>
        <color indexed="8"/>
        <rFont val="Calibri"/>
        <family val="2"/>
      </rPr>
      <t>∆</t>
    </r>
    <r>
      <rPr>
        <sz val="10"/>
        <color indexed="8"/>
        <rFont val="Arial"/>
        <family val="2"/>
      </rPr>
      <t>P</t>
    </r>
    <r>
      <rPr>
        <sz val="10"/>
        <color indexed="8"/>
        <rFont val="Calibri"/>
        <family val="2"/>
      </rPr>
      <t>₃</t>
    </r>
  </si>
  <si>
    <t>[mm]</t>
  </si>
  <si>
    <t>[kW]</t>
  </si>
  <si>
    <t>Tryktabsberegning efter gasregulativet afsnit A</t>
  </si>
  <si>
    <t>[m/s]</t>
  </si>
  <si>
    <t>Flowhastighed i rør</t>
  </si>
  <si>
    <r>
      <t>[m</t>
    </r>
    <r>
      <rPr>
        <sz val="10"/>
        <color indexed="8"/>
        <rFont val="Calibri"/>
        <family val="2"/>
      </rPr>
      <t>³</t>
    </r>
    <r>
      <rPr>
        <sz val="10"/>
        <color indexed="8"/>
        <rFont val="Arial"/>
        <family val="2"/>
      </rPr>
      <t>n/h]</t>
    </r>
  </si>
  <si>
    <t>(kun et kryds!)</t>
  </si>
  <si>
    <t>ø8 x 0,8</t>
  </si>
  <si>
    <t>ø10 x 0,8</t>
  </si>
  <si>
    <t>ø12 x 1,0</t>
  </si>
  <si>
    <t>ø15 x 1,0</t>
  </si>
  <si>
    <t>ø15 (1/2")</t>
  </si>
  <si>
    <t>ø18 x 1,0</t>
  </si>
  <si>
    <t>ø22 x 1,0 (3/4")</t>
  </si>
  <si>
    <t>ø28 x 1,2</t>
  </si>
  <si>
    <t>ø42 x 1,5</t>
  </si>
  <si>
    <t>ø40 (1½")</t>
  </si>
  <si>
    <t>Indvendig diameter</t>
  </si>
  <si>
    <t>Rørdimension</t>
  </si>
  <si>
    <t>mm (")</t>
  </si>
  <si>
    <t>mm</t>
  </si>
  <si>
    <t>ø25          (1")</t>
  </si>
  <si>
    <r>
      <t xml:space="preserve">ø35 x 1,5         (1 </t>
    </r>
    <r>
      <rPr>
        <sz val="12"/>
        <color indexed="8"/>
        <rFont val="Calibri"/>
        <family val="2"/>
      </rPr>
      <t>¼</t>
    </r>
    <r>
      <rPr>
        <sz val="12"/>
        <color indexed="8"/>
        <rFont val="Verdana"/>
        <family val="2"/>
      </rPr>
      <t>")</t>
    </r>
  </si>
  <si>
    <t>ø50     (2")</t>
  </si>
  <si>
    <t>(Se fanen "indvendig rørdiameter")</t>
  </si>
  <si>
    <t>Beregning af mindste rørdiameter ud fra tilladelig tryktab og gashastighed (Gasreglement afsnit B)</t>
  </si>
  <si>
    <t>Rørinstallation under terræn</t>
  </si>
  <si>
    <t>Rørinstallation over terræn</t>
  </si>
  <si>
    <t>Rørinstallation i bygninger</t>
  </si>
  <si>
    <r>
      <rPr>
        <b/>
        <sz val="10"/>
        <color indexed="8"/>
        <rFont val="Calibri"/>
        <family val="2"/>
      </rPr>
      <t>[</t>
    </r>
    <r>
      <rPr>
        <b/>
        <sz val="10"/>
        <color indexed="8"/>
        <rFont val="Arial"/>
        <family val="2"/>
      </rPr>
      <t>m/s</t>
    </r>
    <r>
      <rPr>
        <b/>
        <sz val="10"/>
        <color indexed="8"/>
        <rFont val="Calibri"/>
        <family val="2"/>
      </rPr>
      <t>]</t>
    </r>
  </si>
  <si>
    <t>MAKSIMAL tilladelig gashastighed</t>
  </si>
  <si>
    <t>Gashastighed i rør</t>
  </si>
  <si>
    <t>Kontrol af Gashastighed ved et givet flow og Rørdimension</t>
  </si>
  <si>
    <t>Kobberrør</t>
  </si>
  <si>
    <t>Installation over terræn</t>
  </si>
  <si>
    <t>Installation i bygning</t>
  </si>
  <si>
    <t>Installation under terræn</t>
  </si>
  <si>
    <t>Angiv installationstype ved at sætte x i tilhørende grøn felt</t>
  </si>
  <si>
    <t>Gælder for driftstryk mindre end 100 mbar</t>
  </si>
  <si>
    <r>
      <t>P</t>
    </r>
    <r>
      <rPr>
        <sz val="10"/>
        <color indexed="8"/>
        <rFont val="Calibri"/>
        <family val="2"/>
      </rPr>
      <t>₁</t>
    </r>
  </si>
  <si>
    <t>Beregning af gasflow ud fra tryk og temperatur</t>
  </si>
  <si>
    <t>Beregnet Gasflow</t>
  </si>
  <si>
    <t>Q</t>
  </si>
  <si>
    <t>Qn</t>
  </si>
  <si>
    <t>Beregning af foreløbig rørdiameter Df ud fra Q og tilladelig gashastighed</t>
  </si>
  <si>
    <t>Beregnet foreløbig rørdiameter</t>
  </si>
  <si>
    <t>Df</t>
  </si>
  <si>
    <r>
      <rPr>
        <sz val="10"/>
        <color indexed="8"/>
        <rFont val="Calibri"/>
        <family val="2"/>
      </rPr>
      <t>[</t>
    </r>
    <r>
      <rPr>
        <sz val="10"/>
        <color indexed="8"/>
        <rFont val="Arial"/>
        <family val="2"/>
      </rPr>
      <t>m</t>
    </r>
    <r>
      <rPr>
        <sz val="10"/>
        <color indexed="8"/>
        <rFont val="Calibri"/>
        <family val="2"/>
      </rPr>
      <t>³</t>
    </r>
    <r>
      <rPr>
        <sz val="10"/>
        <color indexed="8"/>
        <rFont val="Arial"/>
        <family val="2"/>
      </rPr>
      <t>/h</t>
    </r>
    <r>
      <rPr>
        <sz val="10"/>
        <color indexed="8"/>
        <rFont val="Calibri"/>
        <family val="2"/>
      </rPr>
      <t>]</t>
    </r>
  </si>
  <si>
    <t>Maksimal tilladelig gashastighed</t>
  </si>
  <si>
    <r>
      <rPr>
        <sz val="10"/>
        <color indexed="8"/>
        <rFont val="Calibri"/>
        <family val="2"/>
      </rPr>
      <t>[</t>
    </r>
    <r>
      <rPr>
        <sz val="10"/>
        <color indexed="8"/>
        <rFont val="Arial"/>
        <family val="2"/>
      </rPr>
      <t>m/s</t>
    </r>
    <r>
      <rPr>
        <sz val="10"/>
        <color indexed="8"/>
        <rFont val="Calibri"/>
        <family val="2"/>
      </rPr>
      <t>]</t>
    </r>
  </si>
  <si>
    <t>Kontrol af tryktab ved brug af foreløbig rørdiameter</t>
  </si>
  <si>
    <t>Beregnet foreløbigt tryktab</t>
  </si>
  <si>
    <r>
      <rPr>
        <sz val="10"/>
        <color indexed="8"/>
        <rFont val="Calibri"/>
        <family val="2"/>
      </rPr>
      <t>Δ</t>
    </r>
    <r>
      <rPr>
        <sz val="10"/>
        <color indexed="8"/>
        <rFont val="Arial"/>
        <family val="2"/>
      </rPr>
      <t>Pf</t>
    </r>
  </si>
  <si>
    <t>Installationsforhold</t>
  </si>
  <si>
    <t xml:space="preserve">Reynolds tal </t>
  </si>
  <si>
    <t>Re</t>
  </si>
  <si>
    <t>Gastryk start (overtryk)</t>
  </si>
  <si>
    <t>Indtast maks. Tilladelig gashastighed</t>
  </si>
  <si>
    <t>(Hvis krav er skærpet i forhold normale regler)</t>
  </si>
  <si>
    <t>[bar*s*10E-10]</t>
  </si>
  <si>
    <t>Ækvivalent ruhedsfaktor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</si>
  <si>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</si>
  <si>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</si>
  <si>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</si>
  <si>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</si>
  <si>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</si>
  <si>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</si>
  <si>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</si>
  <si>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</si>
  <si>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</si>
  <si>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</si>
  <si>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Beregnet tryktab</t>
  </si>
  <si>
    <t>Δp</t>
  </si>
  <si>
    <t>Find rørtype og tilhørende k-værdi</t>
  </si>
  <si>
    <t>Beregning af Transmissionsfaktor F</t>
  </si>
  <si>
    <t>-</t>
  </si>
  <si>
    <t>Maksimal tilladelig tryktab</t>
  </si>
  <si>
    <t>Δpt</t>
  </si>
  <si>
    <t>Tilladelig tryktab</t>
  </si>
  <si>
    <t>∆pt</t>
  </si>
  <si>
    <t>Trykklasse</t>
  </si>
  <si>
    <t>Maks. Tilladeligt tryktab</t>
  </si>
  <si>
    <t>100mbar - 1 bar</t>
  </si>
  <si>
    <t>1 bar - 4 bar</t>
  </si>
  <si>
    <t>4 bar - 16 bar</t>
  </si>
  <si>
    <t>50 mbar</t>
  </si>
  <si>
    <t>400 mbar</t>
  </si>
  <si>
    <t>10% af minimum driftstryk</t>
  </si>
  <si>
    <t>v</t>
  </si>
  <si>
    <t>Ny rørdiameter (automatisk forestået)</t>
  </si>
  <si>
    <t>Hvis rørdiameter er OK, skal du ikke anvende trin 4</t>
  </si>
  <si>
    <t>Trin 4</t>
  </si>
  <si>
    <t>Trin 3</t>
  </si>
  <si>
    <t>Trin 2</t>
  </si>
  <si>
    <t>Trin 1</t>
  </si>
  <si>
    <r>
      <t>Tryktab ved brug af ny rørdiameter</t>
    </r>
    <r>
      <rPr>
        <b/>
        <sz val="12"/>
        <color theme="0"/>
        <rFont val="Arial"/>
        <family val="2"/>
      </rPr>
      <t xml:space="preserve"> (Kun hvis rørdiameter i trin 3 er for lille)</t>
    </r>
  </si>
  <si>
    <t>Ækvivalent ledningslængde</t>
  </si>
  <si>
    <t>Beregning af ækvivalent ledningslængde</t>
  </si>
  <si>
    <t>Rørlængde i lige meter</t>
  </si>
  <si>
    <t>Sædeventil, normal</t>
  </si>
  <si>
    <t>Sædeventil, strømventil</t>
  </si>
  <si>
    <t>Kugle- el. butterflyventil, fuldboret</t>
  </si>
  <si>
    <t>Skydeventil</t>
  </si>
  <si>
    <t>Hane</t>
  </si>
  <si>
    <t>Bøjning, Radius  = 1 x Diameter</t>
  </si>
  <si>
    <t>Bøjning, Radius  = 2-3 x Diameter</t>
  </si>
  <si>
    <t>Bøjning, Radius  = 4 x Diameter</t>
  </si>
  <si>
    <t>Bøjning, Radius  = 5 x Diameter</t>
  </si>
  <si>
    <t>Bøjning, Radius  = 10 x Diameter</t>
  </si>
  <si>
    <t>Svejst T-stykke</t>
  </si>
  <si>
    <t>Slangekobling</t>
  </si>
  <si>
    <t>Lige kobling</t>
  </si>
  <si>
    <t>antal</t>
  </si>
  <si>
    <t>Gælder for driftstryk større end 100 mbar</t>
  </si>
  <si>
    <t>Ny rørdiameter (indtast værdi )</t>
  </si>
  <si>
    <t>indtast ud fra trykklasse</t>
  </si>
  <si>
    <t>Indtastning i grønne felter</t>
  </si>
  <si>
    <r>
      <t>[m</t>
    </r>
    <r>
      <rPr>
        <b/>
        <sz val="10"/>
        <color indexed="8"/>
        <rFont val="Calibri"/>
        <family val="2"/>
      </rPr>
      <t>³</t>
    </r>
    <r>
      <rPr>
        <b/>
        <sz val="10"/>
        <color indexed="8"/>
        <rFont val="Arial"/>
        <family val="2"/>
      </rPr>
      <t>n/h]</t>
    </r>
  </si>
  <si>
    <t>Indtast værdien i ENTEN [m³n/h] ELLER [kW]</t>
  </si>
  <si>
    <t>Beregnet ud fra Nedre Brændværdi</t>
  </si>
  <si>
    <t>Eksempel 1 side 145 Gasreglement Afsnit B-4</t>
  </si>
  <si>
    <t>Eksempel 2 side 146 Gasreglement Afsnit B-4</t>
  </si>
  <si>
    <t>Eksempel 3 side 147 Gasreglement Afsnit B-4</t>
  </si>
  <si>
    <t>svejste stålrør, med afsæt.</t>
  </si>
  <si>
    <t xml:space="preserve"> </t>
  </si>
  <si>
    <r>
      <rPr>
        <sz val="14"/>
        <color indexed="8"/>
        <rFont val="Calibri"/>
        <family val="2"/>
      </rPr>
      <t>©</t>
    </r>
    <r>
      <rPr>
        <sz val="14"/>
        <color indexed="8"/>
        <rFont val="Arial"/>
        <family val="2"/>
      </rPr>
      <t xml:space="preserve"> Christian Fredberg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</si>
</sst>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"/>
    <numFmt numFmtId="167" formatCode="0.000000"/>
    <numFmt numFmtId="168" formatCode="0.00000"/>
  </numFmts>
  <fonts count="24" x14ac:knownFonts="1">
    <font>
      <sz val="12"/>
      <color indexed="8"/>
      <name val="Verdana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22"/>
      <color indexed="8"/>
      <name val="Arial"/>
      <family val="2"/>
    </font>
    <font>
      <b/>
      <sz val="22"/>
      <color theme="0"/>
      <name val="Arial"/>
      <family val="2"/>
    </font>
    <font>
      <sz val="12"/>
      <color indexed="8"/>
      <name val="Verdana"/>
      <family val="2"/>
    </font>
    <font>
      <sz val="12"/>
      <color indexed="8"/>
      <name val="Calibri"/>
      <family val="2"/>
    </font>
    <font>
      <b/>
      <sz val="12"/>
      <color indexed="8"/>
      <name val="Verdana"/>
      <family val="2"/>
    </font>
    <font>
      <b/>
      <sz val="10"/>
      <color indexed="8"/>
      <name val="Calibri"/>
      <family val="2"/>
    </font>
    <font>
      <sz val="10"/>
      <color theme="0" tint="-0.14999847407452621"/>
      <name val="Arial"/>
      <family val="2"/>
    </font>
    <font>
      <b/>
      <sz val="16"/>
      <color theme="0"/>
      <name val="Arial"/>
      <family val="2"/>
    </font>
    <font>
      <sz val="16"/>
      <color indexed="8"/>
      <name val="Arial"/>
      <family val="2"/>
    </font>
    <font>
      <b/>
      <sz val="12"/>
      <color theme="0"/>
      <name val="Arial"/>
      <family val="2"/>
    </font>
    <font>
      <b/>
      <sz val="16"/>
      <color indexed="8"/>
      <name val="Arial"/>
      <family val="2"/>
    </font>
    <font>
      <b/>
      <sz val="14"/>
      <color rgb="FFC00000"/>
      <name val="Arial"/>
      <family val="2"/>
    </font>
    <font>
      <b/>
      <sz val="20"/>
      <color indexed="8"/>
      <name val="Arial"/>
      <family val="2"/>
    </font>
    <font>
      <b/>
      <sz val="16"/>
      <color theme="0"/>
      <name val="Verdana"/>
      <family val="2"/>
    </font>
    <font>
      <sz val="28"/>
      <color indexed="8"/>
      <name val="Arial"/>
      <family val="2"/>
    </font>
    <font>
      <sz val="14"/>
      <color indexed="8"/>
      <name val="Arial"/>
      <family val="2"/>
    </font>
    <font>
      <sz val="14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52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1" fillId="0" borderId="1" xfId="0" applyNumberFormat="1" applyFont="1" applyBorder="1" applyAlignment="1"/>
    <xf numFmtId="0" fontId="1" fillId="0" borderId="0" xfId="0" applyNumberFormat="1" applyFont="1" applyBorder="1" applyAlignment="1"/>
    <xf numFmtId="0" fontId="1" fillId="0" borderId="1" xfId="0" applyNumberFormat="1" applyFont="1" applyBorder="1" applyAlignment="1">
      <alignment horizontal="center"/>
    </xf>
    <xf numFmtId="0" fontId="1" fillId="0" borderId="4" xfId="0" applyNumberFormat="1" applyFont="1" applyBorder="1" applyAlignment="1"/>
    <xf numFmtId="0" fontId="1" fillId="0" borderId="4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0" applyNumberFormat="1" applyFont="1" applyFill="1" applyBorder="1" applyAlignment="1"/>
    <xf numFmtId="0" fontId="1" fillId="0" borderId="0" xfId="0" applyFont="1" applyBorder="1" applyAlignment="1"/>
    <xf numFmtId="1" fontId="1" fillId="0" borderId="0" xfId="0" applyNumberFormat="1" applyFont="1" applyBorder="1" applyAlignment="1"/>
    <xf numFmtId="0" fontId="3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/>
    <xf numFmtId="0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/>
    <xf numFmtId="1" fontId="1" fillId="0" borderId="0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2" fontId="1" fillId="0" borderId="0" xfId="0" applyNumberFormat="1" applyFont="1" applyFill="1" applyBorder="1" applyAlignment="1"/>
    <xf numFmtId="2" fontId="1" fillId="0" borderId="0" xfId="0" applyNumberFormat="1" applyFont="1" applyBorder="1" applyAlignment="1"/>
    <xf numFmtId="164" fontId="1" fillId="0" borderId="0" xfId="0" applyNumberFormat="1" applyFont="1" applyFill="1" applyBorder="1" applyAlignment="1"/>
    <xf numFmtId="164" fontId="1" fillId="0" borderId="0" xfId="0" applyNumberFormat="1" applyFont="1" applyBorder="1" applyAlignment="1"/>
    <xf numFmtId="0" fontId="5" fillId="7" borderId="5" xfId="0" applyNumberFormat="1" applyFont="1" applyFill="1" applyBorder="1" applyAlignment="1"/>
    <xf numFmtId="0" fontId="4" fillId="7" borderId="16" xfId="0" applyNumberFormat="1" applyFont="1" applyFill="1" applyBorder="1" applyAlignment="1"/>
    <xf numFmtId="0" fontId="1" fillId="7" borderId="16" xfId="0" applyFont="1" applyFill="1" applyBorder="1" applyAlignment="1"/>
    <xf numFmtId="0" fontId="1" fillId="7" borderId="16" xfId="0" applyNumberFormat="1" applyFont="1" applyFill="1" applyBorder="1" applyAlignment="1"/>
    <xf numFmtId="0" fontId="1" fillId="7" borderId="6" xfId="0" applyNumberFormat="1" applyFont="1" applyFill="1" applyBorder="1" applyAlignment="1"/>
    <xf numFmtId="0" fontId="1" fillId="0" borderId="1" xfId="0" applyNumberFormat="1" applyFont="1" applyBorder="1" applyAlignment="1">
      <alignment horizontal="center" vertical="center"/>
    </xf>
    <xf numFmtId="0" fontId="1" fillId="0" borderId="25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0" xfId="0" applyNumberFormat="1" applyFont="1" applyAlignment="1"/>
    <xf numFmtId="0" fontId="1" fillId="0" borderId="23" xfId="0" applyNumberFormat="1" applyFont="1" applyBorder="1" applyAlignment="1">
      <alignment horizontal="center"/>
    </xf>
    <xf numFmtId="166" fontId="1" fillId="10" borderId="1" xfId="0" applyNumberFormat="1" applyFont="1" applyFill="1" applyBorder="1" applyAlignment="1"/>
    <xf numFmtId="0" fontId="1" fillId="0" borderId="23" xfId="0" applyNumberFormat="1" applyFont="1" applyBorder="1" applyAlignment="1">
      <alignment horizontal="center" vertical="center"/>
    </xf>
    <xf numFmtId="166" fontId="1" fillId="0" borderId="24" xfId="0" applyNumberFormat="1" applyFont="1" applyBorder="1" applyAlignment="1"/>
    <xf numFmtId="0" fontId="1" fillId="9" borderId="23" xfId="0" applyNumberFormat="1" applyFont="1" applyFill="1" applyBorder="1" applyAlignment="1">
      <alignment horizontal="center" vertical="center"/>
    </xf>
    <xf numFmtId="0" fontId="1" fillId="9" borderId="23" xfId="0" applyNumberFormat="1" applyFont="1" applyFill="1" applyBorder="1" applyAlignment="1">
      <alignment horizontal="center"/>
    </xf>
    <xf numFmtId="2" fontId="1" fillId="9" borderId="6" xfId="0" applyNumberFormat="1" applyFont="1" applyFill="1" applyBorder="1" applyAlignment="1"/>
    <xf numFmtId="0" fontId="5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0" fontId="1" fillId="0" borderId="0" xfId="0" applyFont="1" applyFill="1" applyBorder="1" applyAlignment="1"/>
    <xf numFmtId="0" fontId="1" fillId="3" borderId="5" xfId="0" applyNumberFormat="1" applyFont="1" applyFill="1" applyBorder="1" applyAlignment="1"/>
    <xf numFmtId="0" fontId="1" fillId="3" borderId="16" xfId="0" applyNumberFormat="1" applyFont="1" applyFill="1" applyBorder="1" applyAlignment="1"/>
    <xf numFmtId="0" fontId="1" fillId="3" borderId="6" xfId="0" applyNumberFormat="1" applyFont="1" applyFill="1" applyBorder="1" applyAlignment="1"/>
    <xf numFmtId="4" fontId="1" fillId="10" borderId="1" xfId="0" applyNumberFormat="1" applyFont="1" applyFill="1" applyBorder="1" applyAlignment="1"/>
    <xf numFmtId="3" fontId="1" fillId="10" borderId="1" xfId="0" applyNumberFormat="1" applyFont="1" applyFill="1" applyBorder="1" applyAlignment="1"/>
    <xf numFmtId="0" fontId="1" fillId="0" borderId="35" xfId="0" applyNumberFormat="1" applyFont="1" applyBorder="1" applyAlignment="1">
      <alignment horizontal="center"/>
    </xf>
    <xf numFmtId="0" fontId="1" fillId="10" borderId="19" xfId="0" applyFont="1" applyFill="1" applyBorder="1" applyAlignment="1"/>
    <xf numFmtId="0" fontId="1" fillId="10" borderId="20" xfId="0" applyFont="1" applyFill="1" applyBorder="1" applyAlignment="1"/>
    <xf numFmtId="0" fontId="1" fillId="10" borderId="21" xfId="0" applyFont="1" applyFill="1" applyBorder="1" applyAlignment="1"/>
    <xf numFmtId="0" fontId="1" fillId="9" borderId="40" xfId="0" applyFont="1" applyFill="1" applyBorder="1" applyAlignment="1"/>
    <xf numFmtId="0" fontId="1" fillId="9" borderId="44" xfId="0" applyNumberFormat="1" applyFont="1" applyFill="1" applyBorder="1" applyAlignment="1">
      <alignment horizontal="center" vertical="center"/>
    </xf>
    <xf numFmtId="165" fontId="1" fillId="11" borderId="24" xfId="0" applyNumberFormat="1" applyFont="1" applyFill="1" applyBorder="1" applyAlignment="1"/>
    <xf numFmtId="0" fontId="1" fillId="9" borderId="16" xfId="0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 vertical="center"/>
    </xf>
    <xf numFmtId="0" fontId="1" fillId="9" borderId="25" xfId="0" applyFont="1" applyFill="1" applyBorder="1" applyAlignment="1">
      <alignment horizontal="center"/>
    </xf>
    <xf numFmtId="0" fontId="1" fillId="9" borderId="18" xfId="0" applyFont="1" applyFill="1" applyBorder="1" applyAlignment="1"/>
    <xf numFmtId="0" fontId="1" fillId="9" borderId="7" xfId="0" applyNumberFormat="1" applyFont="1" applyFill="1" applyBorder="1" applyAlignment="1">
      <alignment horizontal="center"/>
    </xf>
    <xf numFmtId="0" fontId="1" fillId="9" borderId="8" xfId="0" applyNumberFormat="1" applyFont="1" applyFill="1" applyBorder="1" applyAlignment="1">
      <alignment horizontal="center"/>
    </xf>
    <xf numFmtId="165" fontId="1" fillId="0" borderId="10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0" fontId="1" fillId="9" borderId="17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2" fontId="1" fillId="0" borderId="10" xfId="0" applyNumberFormat="1" applyFont="1" applyBorder="1" applyAlignment="1">
      <alignment horizontal="center" vertical="center"/>
    </xf>
    <xf numFmtId="0" fontId="1" fillId="9" borderId="14" xfId="0" applyFont="1" applyFill="1" applyBorder="1" applyAlignment="1"/>
    <xf numFmtId="0" fontId="1" fillId="9" borderId="46" xfId="0" applyNumberFormat="1" applyFont="1" applyFill="1" applyBorder="1" applyAlignment="1">
      <alignment horizontal="center"/>
    </xf>
    <xf numFmtId="2" fontId="1" fillId="0" borderId="45" xfId="0" applyNumberFormat="1" applyFont="1" applyBorder="1" applyAlignment="1">
      <alignment horizontal="center" vertical="center"/>
    </xf>
    <xf numFmtId="0" fontId="1" fillId="9" borderId="17" xfId="0" applyFont="1" applyFill="1" applyBorder="1" applyAlignment="1"/>
    <xf numFmtId="0" fontId="1" fillId="0" borderId="10" xfId="0" applyFont="1" applyBorder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1" fillId="6" borderId="36" xfId="0" applyFont="1" applyFill="1" applyBorder="1" applyAlignment="1">
      <alignment horizontal="center" vertical="center"/>
    </xf>
    <xf numFmtId="0" fontId="1" fillId="6" borderId="37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/>
    </xf>
    <xf numFmtId="0" fontId="1" fillId="11" borderId="23" xfId="0" applyNumberFormat="1" applyFont="1" applyFill="1" applyBorder="1" applyAlignment="1">
      <alignment horizontal="center"/>
    </xf>
    <xf numFmtId="0" fontId="1" fillId="0" borderId="25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1" fillId="0" borderId="0" xfId="0" applyNumberFormat="1" applyFont="1" applyAlignment="1">
      <alignment horizontal="center" vertical="center"/>
    </xf>
    <xf numFmtId="0" fontId="9" fillId="12" borderId="1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vertical="top" wrapText="1"/>
    </xf>
    <xf numFmtId="0" fontId="11" fillId="13" borderId="1" xfId="0" applyFont="1" applyFill="1" applyBorder="1" applyAlignment="1">
      <alignment horizontal="center" vertical="center" wrapText="1"/>
    </xf>
    <xf numFmtId="165" fontId="11" fillId="13" borderId="1" xfId="0" applyNumberFormat="1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/>
    </xf>
    <xf numFmtId="165" fontId="2" fillId="0" borderId="0" xfId="0" applyNumberFormat="1" applyFont="1" applyFill="1" applyBorder="1" applyAlignment="1">
      <alignment horizontal="center" vertical="center" wrapText="1"/>
    </xf>
    <xf numFmtId="0" fontId="1" fillId="5" borderId="19" xfId="0" applyNumberFormat="1" applyFont="1" applyFill="1" applyBorder="1" applyAlignment="1">
      <alignment horizontal="center"/>
    </xf>
    <xf numFmtId="0" fontId="1" fillId="5" borderId="20" xfId="0" applyNumberFormat="1" applyFont="1" applyFill="1" applyBorder="1" applyAlignment="1">
      <alignment horizontal="center"/>
    </xf>
    <xf numFmtId="0" fontId="1" fillId="5" borderId="21" xfId="0" applyNumberFormat="1" applyFont="1" applyFill="1" applyBorder="1" applyAlignment="1">
      <alignment horizontal="center"/>
    </xf>
    <xf numFmtId="0" fontId="2" fillId="14" borderId="50" xfId="0" applyNumberFormat="1" applyFont="1" applyFill="1" applyBorder="1" applyAlignment="1">
      <alignment horizontal="center" vertical="center"/>
    </xf>
    <xf numFmtId="0" fontId="2" fillId="9" borderId="23" xfId="0" applyNumberFormat="1" applyFont="1" applyFill="1" applyBorder="1" applyAlignment="1">
      <alignment horizontal="center"/>
    </xf>
    <xf numFmtId="165" fontId="2" fillId="9" borderId="24" xfId="0" applyNumberFormat="1" applyFont="1" applyFill="1" applyBorder="1" applyAlignment="1"/>
    <xf numFmtId="167" fontId="1" fillId="0" borderId="0" xfId="0" applyNumberFormat="1" applyFont="1" applyBorder="1" applyAlignment="1"/>
    <xf numFmtId="0" fontId="1" fillId="0" borderId="0" xfId="0" applyNumberFormat="1" applyFont="1" applyBorder="1" applyAlignment="1">
      <alignment horizontal="left"/>
    </xf>
    <xf numFmtId="0" fontId="1" fillId="3" borderId="34" xfId="0" applyNumberFormat="1" applyFont="1" applyFill="1" applyBorder="1" applyAlignment="1"/>
    <xf numFmtId="0" fontId="1" fillId="3" borderId="33" xfId="0" applyNumberFormat="1" applyFont="1" applyFill="1" applyBorder="1" applyAlignment="1"/>
    <xf numFmtId="0" fontId="1" fillId="16" borderId="1" xfId="0" applyNumberFormat="1" applyFont="1" applyFill="1" applyBorder="1" applyAlignment="1"/>
    <xf numFmtId="0" fontId="1" fillId="16" borderId="1" xfId="0" applyNumberFormat="1" applyFont="1" applyFill="1" applyBorder="1" applyAlignment="1">
      <alignment horizontal="center" vertical="center"/>
    </xf>
    <xf numFmtId="165" fontId="1" fillId="16" borderId="1" xfId="0" applyNumberFormat="1" applyFont="1" applyFill="1" applyBorder="1" applyAlignment="1"/>
    <xf numFmtId="4" fontId="1" fillId="0" borderId="0" xfId="0" applyNumberFormat="1" applyFont="1" applyFill="1" applyBorder="1" applyAlignment="1"/>
    <xf numFmtId="2" fontId="1" fillId="16" borderId="1" xfId="0" applyNumberFormat="1" applyFont="1" applyFill="1" applyBorder="1" applyAlignment="1"/>
    <xf numFmtId="0" fontId="1" fillId="0" borderId="32" xfId="0" applyNumberFormat="1" applyFont="1" applyBorder="1" applyAlignment="1">
      <alignment horizontal="left"/>
    </xf>
    <xf numFmtId="0" fontId="1" fillId="16" borderId="1" xfId="0" applyNumberFormat="1" applyFont="1" applyFill="1" applyBorder="1" applyAlignment="1">
      <alignment horizontal="left"/>
    </xf>
    <xf numFmtId="0" fontId="1" fillId="16" borderId="32" xfId="0" applyNumberFormat="1" applyFont="1" applyFill="1" applyBorder="1" applyAlignment="1">
      <alignment horizontal="center" vertical="center"/>
    </xf>
    <xf numFmtId="165" fontId="1" fillId="16" borderId="32" xfId="0" applyNumberFormat="1" applyFont="1" applyFill="1" applyBorder="1" applyAlignment="1"/>
    <xf numFmtId="0" fontId="1" fillId="11" borderId="1" xfId="0" applyNumberFormat="1" applyFont="1" applyFill="1" applyBorder="1" applyAlignment="1">
      <alignment horizontal="center"/>
    </xf>
    <xf numFmtId="165" fontId="1" fillId="11" borderId="1" xfId="0" applyNumberFormat="1" applyFont="1" applyFill="1" applyBorder="1" applyAlignment="1"/>
    <xf numFmtId="0" fontId="1" fillId="11" borderId="1" xfId="0" applyNumberFormat="1" applyFont="1" applyFill="1" applyBorder="1" applyAlignment="1"/>
    <xf numFmtId="0" fontId="1" fillId="16" borderId="1" xfId="0" applyNumberFormat="1" applyFont="1" applyFill="1" applyBorder="1" applyAlignment="1">
      <alignment horizontal="left" vertical="center"/>
    </xf>
    <xf numFmtId="3" fontId="1" fillId="11" borderId="1" xfId="0" applyNumberFormat="1" applyFont="1" applyFill="1" applyBorder="1" applyAlignment="1"/>
    <xf numFmtId="0" fontId="3" fillId="16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left" vertical="center"/>
    </xf>
    <xf numFmtId="0" fontId="13" fillId="0" borderId="1" xfId="0" applyNumberFormat="1" applyFont="1" applyBorder="1" applyAlignment="1"/>
    <xf numFmtId="166" fontId="13" fillId="0" borderId="1" xfId="0" applyNumberFormat="1" applyFont="1" applyBorder="1" applyAlignment="1">
      <alignment horizontal="center"/>
    </xf>
    <xf numFmtId="166" fontId="1" fillId="11" borderId="1" xfId="0" applyNumberFormat="1" applyFont="1" applyFill="1" applyBorder="1" applyAlignment="1">
      <alignment horizontal="center"/>
    </xf>
    <xf numFmtId="0" fontId="3" fillId="17" borderId="1" xfId="0" applyNumberFormat="1" applyFont="1" applyFill="1" applyBorder="1" applyAlignment="1">
      <alignment horizontal="center" vertical="center"/>
    </xf>
    <xf numFmtId="0" fontId="1" fillId="11" borderId="1" xfId="0" applyNumberFormat="1" applyFont="1" applyFill="1" applyBorder="1" applyAlignment="1">
      <alignment horizontal="center" vertical="center"/>
    </xf>
    <xf numFmtId="0" fontId="1" fillId="17" borderId="1" xfId="0" applyNumberFormat="1" applyFont="1" applyFill="1" applyBorder="1" applyAlignment="1">
      <alignment horizontal="center"/>
    </xf>
    <xf numFmtId="0" fontId="1" fillId="17" borderId="1" xfId="0" applyNumberFormat="1" applyFont="1" applyFill="1" applyBorder="1" applyAlignment="1"/>
    <xf numFmtId="0" fontId="5" fillId="0" borderId="0" xfId="0" applyNumberFormat="1" applyFont="1" applyFill="1" applyAlignment="1"/>
    <xf numFmtId="165" fontId="1" fillId="0" borderId="0" xfId="0" applyNumberFormat="1" applyFont="1" applyFill="1" applyBorder="1" applyAlignment="1"/>
    <xf numFmtId="0" fontId="2" fillId="16" borderId="1" xfId="0" applyNumberFormat="1" applyFont="1" applyFill="1" applyBorder="1" applyAlignment="1">
      <alignment horizontal="center" vertical="center"/>
    </xf>
    <xf numFmtId="0" fontId="2" fillId="11" borderId="1" xfId="0" applyNumberFormat="1" applyFont="1" applyFill="1" applyBorder="1" applyAlignment="1">
      <alignment horizontal="center" vertical="center"/>
    </xf>
    <xf numFmtId="0" fontId="2" fillId="11" borderId="1" xfId="0" applyNumberFormat="1" applyFont="1" applyFill="1" applyBorder="1" applyAlignment="1">
      <alignment horizontal="center"/>
    </xf>
    <xf numFmtId="0" fontId="12" fillId="16" borderId="1" xfId="0" applyNumberFormat="1" applyFont="1" applyFill="1" applyBorder="1" applyAlignment="1">
      <alignment horizontal="center" vertical="center"/>
    </xf>
    <xf numFmtId="2" fontId="1" fillId="11" borderId="24" xfId="0" applyNumberFormat="1" applyFont="1" applyFill="1" applyBorder="1" applyAlignment="1"/>
    <xf numFmtId="168" fontId="1" fillId="11" borderId="24" xfId="0" applyNumberFormat="1" applyFont="1" applyFill="1" applyBorder="1" applyAlignment="1"/>
    <xf numFmtId="0" fontId="14" fillId="7" borderId="16" xfId="0" applyNumberFormat="1" applyFont="1" applyFill="1" applyBorder="1" applyAlignment="1"/>
    <xf numFmtId="0" fontId="15" fillId="7" borderId="16" xfId="0" applyFont="1" applyFill="1" applyBorder="1" applyAlignment="1"/>
    <xf numFmtId="0" fontId="15" fillId="7" borderId="16" xfId="0" applyNumberFormat="1" applyFont="1" applyFill="1" applyBorder="1" applyAlignment="1"/>
    <xf numFmtId="0" fontId="15" fillId="7" borderId="6" xfId="0" applyNumberFormat="1" applyFont="1" applyFill="1" applyBorder="1" applyAlignment="1"/>
    <xf numFmtId="0" fontId="14" fillId="7" borderId="5" xfId="0" applyNumberFormat="1" applyFont="1" applyFill="1" applyBorder="1" applyAlignment="1"/>
    <xf numFmtId="0" fontId="17" fillId="7" borderId="16" xfId="0" applyFont="1" applyFill="1" applyBorder="1" applyAlignment="1"/>
    <xf numFmtId="0" fontId="17" fillId="7" borderId="16" xfId="0" applyNumberFormat="1" applyFont="1" applyFill="1" applyBorder="1" applyAlignment="1"/>
    <xf numFmtId="0" fontId="17" fillId="7" borderId="6" xfId="0" applyNumberFormat="1" applyFont="1" applyFill="1" applyBorder="1" applyAlignment="1"/>
    <xf numFmtId="0" fontId="1" fillId="10" borderId="1" xfId="0" applyNumberFormat="1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/>
    </xf>
    <xf numFmtId="0" fontId="2" fillId="16" borderId="32" xfId="0" applyNumberFormat="1" applyFont="1" applyFill="1" applyBorder="1" applyAlignment="1">
      <alignment horizontal="center" vertical="center"/>
    </xf>
    <xf numFmtId="165" fontId="2" fillId="16" borderId="32" xfId="0" applyNumberFormat="1" applyFont="1" applyFill="1" applyBorder="1" applyAlignment="1"/>
    <xf numFmtId="0" fontId="1" fillId="0" borderId="4" xfId="0" applyNumberFormat="1" applyFont="1" applyFill="1" applyBorder="1" applyAlignment="1">
      <alignment horizontal="center"/>
    </xf>
    <xf numFmtId="165" fontId="1" fillId="10" borderId="1" xfId="0" applyNumberFormat="1" applyFont="1" applyFill="1" applyBorder="1" applyAlignment="1"/>
    <xf numFmtId="0" fontId="1" fillId="4" borderId="4" xfId="0" applyNumberFormat="1" applyFont="1" applyFill="1" applyBorder="1" applyAlignment="1" applyProtection="1">
      <alignment horizontal="center" vertical="center"/>
      <protection locked="0"/>
    </xf>
    <xf numFmtId="0" fontId="1" fillId="4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Alignment="1" applyProtection="1">
      <protection locked="0"/>
    </xf>
    <xf numFmtId="0" fontId="1" fillId="4" borderId="4" xfId="0" applyNumberFormat="1" applyFont="1" applyFill="1" applyBorder="1" applyAlignment="1" applyProtection="1">
      <protection locked="0"/>
    </xf>
    <xf numFmtId="0" fontId="1" fillId="4" borderId="1" xfId="0" applyNumberFormat="1" applyFont="1" applyFill="1" applyBorder="1" applyAlignment="1" applyProtection="1">
      <protection locked="0"/>
    </xf>
    <xf numFmtId="0" fontId="1" fillId="4" borderId="1" xfId="0" applyNumberFormat="1" applyFont="1" applyFill="1" applyBorder="1" applyAlignment="1" applyProtection="1">
      <alignment horizontal="center"/>
      <protection locked="0"/>
    </xf>
    <xf numFmtId="0" fontId="1" fillId="4" borderId="32" xfId="0" applyNumberFormat="1" applyFont="1" applyFill="1" applyBorder="1" applyAlignment="1" applyProtection="1">
      <alignment horizontal="center"/>
      <protection locked="0"/>
    </xf>
    <xf numFmtId="2" fontId="2" fillId="4" borderId="1" xfId="0" applyNumberFormat="1" applyFont="1" applyFill="1" applyBorder="1" applyAlignment="1" applyProtection="1">
      <protection locked="0"/>
    </xf>
    <xf numFmtId="0" fontId="1" fillId="4" borderId="18" xfId="0" applyNumberFormat="1" applyFont="1" applyFill="1" applyBorder="1" applyAlignment="1" applyProtection="1">
      <protection locked="0"/>
    </xf>
    <xf numFmtId="0" fontId="1" fillId="4" borderId="8" xfId="0" applyNumberFormat="1" applyFont="1" applyFill="1" applyBorder="1" applyAlignment="1" applyProtection="1">
      <protection locked="0"/>
    </xf>
    <xf numFmtId="0" fontId="1" fillId="4" borderId="12" xfId="0" applyNumberFormat="1" applyFont="1" applyFill="1" applyBorder="1" applyAlignment="1" applyProtection="1">
      <protection locked="0"/>
    </xf>
    <xf numFmtId="0" fontId="1" fillId="4" borderId="4" xfId="0" applyFont="1" applyFill="1" applyBorder="1" applyAlignment="1" applyProtection="1">
      <alignment horizontal="center" vertical="center"/>
      <protection locked="0"/>
    </xf>
    <xf numFmtId="0" fontId="1" fillId="4" borderId="42" xfId="0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4" borderId="2" xfId="0" applyFont="1" applyFill="1" applyBorder="1" applyAlignment="1" applyProtection="1">
      <alignment horizontal="center" vertical="center"/>
      <protection locked="0"/>
    </xf>
    <xf numFmtId="1" fontId="3" fillId="4" borderId="1" xfId="0" applyNumberFormat="1" applyFont="1" applyFill="1" applyBorder="1" applyAlignment="1" applyProtection="1">
      <alignment horizontal="center" vertical="center"/>
      <protection locked="0"/>
    </xf>
    <xf numFmtId="0" fontId="1" fillId="4" borderId="32" xfId="0" applyFont="1" applyFill="1" applyBorder="1" applyAlignment="1" applyProtection="1">
      <alignment horizontal="center" vertical="center"/>
      <protection locked="0"/>
    </xf>
    <xf numFmtId="0" fontId="1" fillId="4" borderId="31" xfId="0" applyFont="1" applyFill="1" applyBorder="1" applyAlignment="1" applyProtection="1">
      <alignment horizontal="center" vertical="center"/>
      <protection locked="0"/>
    </xf>
    <xf numFmtId="0" fontId="1" fillId="4" borderId="24" xfId="0" applyFont="1" applyFill="1" applyBorder="1" applyAlignment="1" applyProtection="1">
      <protection locked="0"/>
    </xf>
    <xf numFmtId="165" fontId="2" fillId="16" borderId="1" xfId="0" applyNumberFormat="1" applyFont="1" applyFill="1" applyBorder="1" applyAlignment="1"/>
    <xf numFmtId="0" fontId="1" fillId="16" borderId="23" xfId="0" applyNumberFormat="1" applyFont="1" applyFill="1" applyBorder="1" applyAlignment="1">
      <alignment horizontal="center" vertical="center"/>
    </xf>
    <xf numFmtId="165" fontId="1" fillId="16" borderId="24" xfId="0" applyNumberFormat="1" applyFont="1" applyFill="1" applyBorder="1" applyAlignment="1"/>
    <xf numFmtId="0" fontId="19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/>
    </xf>
    <xf numFmtId="0" fontId="2" fillId="0" borderId="11" xfId="0" applyNumberFormat="1" applyFont="1" applyFill="1" applyBorder="1" applyAlignment="1">
      <alignment horizontal="center"/>
    </xf>
    <xf numFmtId="0" fontId="5" fillId="0" borderId="0" xfId="0" applyNumberFormat="1" applyFont="1" applyAlignment="1"/>
    <xf numFmtId="0" fontId="1" fillId="16" borderId="1" xfId="0" applyNumberFormat="1" applyFont="1" applyFill="1" applyBorder="1" applyAlignment="1">
      <alignment horizontal="left" vertical="center"/>
    </xf>
    <xf numFmtId="0" fontId="1" fillId="0" borderId="32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center" vertical="center"/>
    </xf>
    <xf numFmtId="0" fontId="1" fillId="9" borderId="25" xfId="0" applyFont="1" applyFill="1" applyBorder="1" applyAlignment="1">
      <alignment horizontal="center"/>
    </xf>
    <xf numFmtId="0" fontId="1" fillId="16" borderId="1" xfId="0" applyNumberFormat="1" applyFont="1" applyFill="1" applyBorder="1" applyAlignment="1">
      <alignment horizontal="left" vertical="center"/>
    </xf>
    <xf numFmtId="0" fontId="1" fillId="0" borderId="32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center" vertical="center"/>
    </xf>
    <xf numFmtId="0" fontId="22" fillId="0" borderId="0" xfId="0" applyNumberFormat="1" applyFont="1" applyAlignment="1"/>
    <xf numFmtId="0" fontId="19" fillId="3" borderId="5" xfId="0" applyNumberFormat="1" applyFont="1" applyFill="1" applyBorder="1" applyAlignment="1">
      <alignment horizontal="center" vertical="center"/>
    </xf>
    <xf numFmtId="0" fontId="19" fillId="3" borderId="16" xfId="0" applyNumberFormat="1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14" fillId="15" borderId="0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1" fillId="9" borderId="25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5" borderId="2" xfId="0" applyNumberFormat="1" applyFont="1" applyFill="1" applyBorder="1" applyAlignment="1">
      <alignment horizontal="left"/>
    </xf>
    <xf numFmtId="0" fontId="1" fillId="5" borderId="3" xfId="0" applyNumberFormat="1" applyFont="1" applyFill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1" fillId="5" borderId="3" xfId="0" applyFont="1" applyFill="1" applyBorder="1" applyAlignment="1">
      <alignment horizontal="left"/>
    </xf>
    <xf numFmtId="0" fontId="8" fillId="7" borderId="5" xfId="0" applyNumberFormat="1" applyFont="1" applyFill="1" applyBorder="1" applyAlignment="1">
      <alignment horizontal="center" vertical="center"/>
    </xf>
    <xf numFmtId="0" fontId="8" fillId="7" borderId="16" xfId="0" applyNumberFormat="1" applyFont="1" applyFill="1" applyBorder="1" applyAlignment="1">
      <alignment horizontal="center" vertical="center"/>
    </xf>
    <xf numFmtId="0" fontId="8" fillId="7" borderId="6" xfId="0" applyNumberFormat="1" applyFont="1" applyFill="1" applyBorder="1" applyAlignment="1">
      <alignment horizontal="center" vertical="center"/>
    </xf>
    <xf numFmtId="0" fontId="1" fillId="11" borderId="5" xfId="0" applyNumberFormat="1" applyFont="1" applyFill="1" applyBorder="1" applyAlignment="1">
      <alignment horizontal="left"/>
    </xf>
    <xf numFmtId="0" fontId="1" fillId="11" borderId="44" xfId="0" applyNumberFormat="1" applyFont="1" applyFill="1" applyBorder="1" applyAlignment="1">
      <alignment horizontal="left"/>
    </xf>
    <xf numFmtId="1" fontId="1" fillId="0" borderId="5" xfId="0" applyNumberFormat="1" applyFont="1" applyBorder="1" applyAlignment="1">
      <alignment horizontal="left"/>
    </xf>
    <xf numFmtId="1" fontId="1" fillId="0" borderId="16" xfId="0" applyNumberFormat="1" applyFont="1" applyBorder="1" applyAlignment="1">
      <alignment horizontal="left"/>
    </xf>
    <xf numFmtId="1" fontId="1" fillId="0" borderId="44" xfId="0" applyNumberFormat="1" applyFont="1" applyBorder="1" applyAlignment="1">
      <alignment horizontal="left"/>
    </xf>
    <xf numFmtId="1" fontId="2" fillId="9" borderId="5" xfId="0" applyNumberFormat="1" applyFont="1" applyFill="1" applyBorder="1" applyAlignment="1">
      <alignment horizontal="center"/>
    </xf>
    <xf numFmtId="1" fontId="2" fillId="9" borderId="6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10" borderId="39" xfId="0" applyFont="1" applyFill="1" applyBorder="1" applyAlignment="1">
      <alignment horizontal="center" wrapText="1"/>
    </xf>
    <xf numFmtId="0" fontId="2" fillId="10" borderId="41" xfId="0" applyFont="1" applyFill="1" applyBorder="1" applyAlignment="1">
      <alignment horizontal="center" wrapText="1"/>
    </xf>
    <xf numFmtId="0" fontId="2" fillId="9" borderId="5" xfId="0" applyNumberFormat="1" applyFont="1" applyFill="1" applyBorder="1" applyAlignment="1">
      <alignment horizontal="left"/>
    </xf>
    <xf numFmtId="0" fontId="2" fillId="9" borderId="16" xfId="0" applyNumberFormat="1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16" xfId="0" applyFont="1" applyFill="1" applyBorder="1" applyAlignment="1">
      <alignment horizontal="left"/>
    </xf>
    <xf numFmtId="0" fontId="1" fillId="3" borderId="6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1" fillId="0" borderId="2" xfId="0" applyNumberFormat="1" applyFont="1" applyBorder="1" applyAlignment="1">
      <alignment horizontal="left"/>
    </xf>
    <xf numFmtId="0" fontId="1" fillId="0" borderId="3" xfId="0" applyNumberFormat="1" applyFont="1" applyBorder="1" applyAlignment="1">
      <alignment horizontal="left"/>
    </xf>
    <xf numFmtId="0" fontId="1" fillId="17" borderId="1" xfId="0" applyFont="1" applyFill="1" applyBorder="1" applyAlignment="1">
      <alignment horizontal="left" vertical="center"/>
    </xf>
    <xf numFmtId="0" fontId="2" fillId="6" borderId="34" xfId="0" applyNumberFormat="1" applyFont="1" applyFill="1" applyBorder="1" applyAlignment="1">
      <alignment horizontal="center"/>
    </xf>
    <xf numFmtId="0" fontId="2" fillId="6" borderId="33" xfId="0" applyNumberFormat="1" applyFont="1" applyFill="1" applyBorder="1" applyAlignment="1">
      <alignment horizontal="center"/>
    </xf>
    <xf numFmtId="0" fontId="2" fillId="5" borderId="22" xfId="0" applyNumberFormat="1" applyFont="1" applyFill="1" applyBorder="1" applyAlignment="1">
      <alignment horizontal="center"/>
    </xf>
    <xf numFmtId="0" fontId="2" fillId="5" borderId="35" xfId="0" applyNumberFormat="1" applyFont="1" applyFill="1" applyBorder="1" applyAlignment="1">
      <alignment horizontal="center"/>
    </xf>
    <xf numFmtId="0" fontId="1" fillId="5" borderId="13" xfId="0" applyNumberFormat="1" applyFont="1" applyFill="1" applyBorder="1" applyAlignment="1">
      <alignment horizontal="left"/>
    </xf>
    <xf numFmtId="0" fontId="1" fillId="5" borderId="15" xfId="0" applyNumberFormat="1" applyFont="1" applyFill="1" applyBorder="1" applyAlignment="1">
      <alignment horizontal="left"/>
    </xf>
    <xf numFmtId="0" fontId="3" fillId="0" borderId="2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2" fillId="8" borderId="17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16" xfId="0" applyNumberFormat="1" applyFont="1" applyFill="1" applyBorder="1" applyAlignment="1">
      <alignment horizontal="center"/>
    </xf>
    <xf numFmtId="0" fontId="1" fillId="5" borderId="6" xfId="0" applyNumberFormat="1" applyFont="1" applyFill="1" applyBorder="1" applyAlignment="1">
      <alignment horizontal="center"/>
    </xf>
    <xf numFmtId="0" fontId="1" fillId="0" borderId="27" xfId="0" applyNumberFormat="1" applyFont="1" applyBorder="1" applyAlignment="1">
      <alignment horizontal="left"/>
    </xf>
    <xf numFmtId="0" fontId="1" fillId="0" borderId="28" xfId="0" applyNumberFormat="1" applyFont="1" applyBorder="1" applyAlignment="1">
      <alignment horizontal="left"/>
    </xf>
    <xf numFmtId="0" fontId="1" fillId="5" borderId="30" xfId="0" applyNumberFormat="1" applyFont="1" applyFill="1" applyBorder="1" applyAlignment="1">
      <alignment horizontal="right"/>
    </xf>
    <xf numFmtId="0" fontId="1" fillId="5" borderId="31" xfId="0" applyNumberFormat="1" applyFont="1" applyFill="1" applyBorder="1" applyAlignment="1">
      <alignment horizontal="right"/>
    </xf>
    <xf numFmtId="0" fontId="20" fillId="15" borderId="5" xfId="0" applyFont="1" applyFill="1" applyBorder="1" applyAlignment="1">
      <alignment horizontal="center" vertical="top"/>
    </xf>
    <xf numFmtId="0" fontId="20" fillId="15" borderId="16" xfId="0" applyFont="1" applyFill="1" applyBorder="1" applyAlignment="1">
      <alignment horizontal="center" vertical="top"/>
    </xf>
    <xf numFmtId="0" fontId="20" fillId="15" borderId="6" xfId="0" applyFont="1" applyFill="1" applyBorder="1" applyAlignment="1">
      <alignment horizontal="center" vertical="top"/>
    </xf>
    <xf numFmtId="0" fontId="1" fillId="5" borderId="7" xfId="0" applyNumberFormat="1" applyFont="1" applyFill="1" applyBorder="1" applyAlignment="1">
      <alignment horizontal="right"/>
    </xf>
    <xf numFmtId="0" fontId="1" fillId="5" borderId="2" xfId="0" applyNumberFormat="1" applyFont="1" applyFill="1" applyBorder="1" applyAlignment="1">
      <alignment horizontal="right"/>
    </xf>
    <xf numFmtId="0" fontId="2" fillId="8" borderId="15" xfId="0" applyNumberFormat="1" applyFont="1" applyFill="1" applyBorder="1" applyAlignment="1">
      <alignment horizontal="center"/>
    </xf>
    <xf numFmtId="0" fontId="2" fillId="8" borderId="13" xfId="0" applyNumberFormat="1" applyFont="1" applyFill="1" applyBorder="1" applyAlignment="1">
      <alignment horizontal="center"/>
    </xf>
    <xf numFmtId="0" fontId="2" fillId="5" borderId="7" xfId="0" applyNumberFormat="1" applyFont="1" applyFill="1" applyBorder="1" applyAlignment="1">
      <alignment horizontal="left"/>
    </xf>
    <xf numFmtId="0" fontId="2" fillId="5" borderId="2" xfId="0" applyNumberFormat="1" applyFont="1" applyFill="1" applyBorder="1" applyAlignment="1">
      <alignment horizontal="left"/>
    </xf>
    <xf numFmtId="0" fontId="1" fillId="5" borderId="7" xfId="0" applyNumberFormat="1" applyFont="1" applyFill="1" applyBorder="1" applyAlignment="1">
      <alignment horizontal="center"/>
    </xf>
    <xf numFmtId="0" fontId="1" fillId="5" borderId="2" xfId="0" applyNumberFormat="1" applyFont="1" applyFill="1" applyBorder="1" applyAlignment="1">
      <alignment horizontal="center"/>
    </xf>
    <xf numFmtId="0" fontId="1" fillId="2" borderId="42" xfId="0" applyNumberFormat="1" applyFont="1" applyFill="1" applyBorder="1" applyAlignment="1">
      <alignment horizontal="left"/>
    </xf>
    <xf numFmtId="0" fontId="1" fillId="2" borderId="43" xfId="0" applyNumberFormat="1" applyFont="1" applyFill="1" applyBorder="1" applyAlignment="1">
      <alignment horizontal="left"/>
    </xf>
    <xf numFmtId="0" fontId="1" fillId="0" borderId="26" xfId="0" applyNumberFormat="1" applyFont="1" applyBorder="1" applyAlignment="1">
      <alignment horizontal="left"/>
    </xf>
    <xf numFmtId="0" fontId="1" fillId="0" borderId="15" xfId="0" applyNumberFormat="1" applyFont="1" applyBorder="1" applyAlignment="1">
      <alignment horizontal="left"/>
    </xf>
    <xf numFmtId="0" fontId="1" fillId="0" borderId="9" xfId="0" applyNumberFormat="1" applyFont="1" applyBorder="1" applyAlignment="1">
      <alignment horizontal="left"/>
    </xf>
    <xf numFmtId="0" fontId="2" fillId="16" borderId="1" xfId="0" applyNumberFormat="1" applyFont="1" applyFill="1" applyBorder="1" applyAlignment="1">
      <alignment horizontal="left"/>
    </xf>
    <xf numFmtId="0" fontId="1" fillId="0" borderId="53" xfId="0" applyNumberFormat="1" applyFont="1" applyFill="1" applyBorder="1" applyAlignment="1">
      <alignment horizontal="center" vertical="center"/>
    </xf>
    <xf numFmtId="0" fontId="1" fillId="0" borderId="54" xfId="0" applyNumberFormat="1" applyFont="1" applyFill="1" applyBorder="1" applyAlignment="1">
      <alignment horizontal="center" vertical="center"/>
    </xf>
    <xf numFmtId="0" fontId="2" fillId="11" borderId="1" xfId="0" applyNumberFormat="1" applyFont="1" applyFill="1" applyBorder="1" applyAlignment="1">
      <alignment horizontal="left"/>
    </xf>
    <xf numFmtId="0" fontId="1" fillId="11" borderId="1" xfId="0" applyNumberFormat="1" applyFont="1" applyFill="1" applyBorder="1" applyAlignment="1">
      <alignment horizontal="left"/>
    </xf>
    <xf numFmtId="0" fontId="1" fillId="5" borderId="1" xfId="0" applyNumberFormat="1" applyFont="1" applyFill="1" applyBorder="1" applyAlignment="1">
      <alignment horizontal="center"/>
    </xf>
    <xf numFmtId="0" fontId="1" fillId="5" borderId="8" xfId="0" applyNumberFormat="1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/>
    </xf>
    <xf numFmtId="0" fontId="1" fillId="5" borderId="48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10" xfId="0" applyNumberFormat="1" applyFont="1" applyFill="1" applyBorder="1" applyAlignment="1">
      <alignment horizontal="center"/>
    </xf>
    <xf numFmtId="0" fontId="1" fillId="5" borderId="11" xfId="0" applyNumberFormat="1" applyFont="1" applyFill="1" applyBorder="1" applyAlignment="1">
      <alignment horizontal="center"/>
    </xf>
    <xf numFmtId="0" fontId="1" fillId="5" borderId="12" xfId="0" applyNumberFormat="1" applyFont="1" applyFill="1" applyBorder="1" applyAlignment="1">
      <alignment horizontal="center"/>
    </xf>
    <xf numFmtId="0" fontId="1" fillId="5" borderId="51" xfId="0" applyFont="1" applyFill="1" applyBorder="1" applyAlignment="1">
      <alignment horizontal="center"/>
    </xf>
    <xf numFmtId="0" fontId="1" fillId="5" borderId="49" xfId="0" applyFont="1" applyFill="1" applyBorder="1" applyAlignment="1">
      <alignment horizontal="center"/>
    </xf>
    <xf numFmtId="0" fontId="2" fillId="5" borderId="7" xfId="0" applyNumberFormat="1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2" fillId="5" borderId="8" xfId="0" applyNumberFormat="1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right"/>
    </xf>
    <xf numFmtId="0" fontId="1" fillId="5" borderId="8" xfId="0" applyNumberFormat="1" applyFont="1" applyFill="1" applyBorder="1" applyAlignment="1">
      <alignment horizontal="right"/>
    </xf>
    <xf numFmtId="0" fontId="1" fillId="5" borderId="9" xfId="0" applyNumberFormat="1" applyFont="1" applyFill="1" applyBorder="1" applyAlignment="1">
      <alignment horizontal="center"/>
    </xf>
    <xf numFmtId="0" fontId="1" fillId="5" borderId="46" xfId="0" applyNumberFormat="1" applyFont="1" applyFill="1" applyBorder="1" applyAlignment="1">
      <alignment horizontal="center"/>
    </xf>
    <xf numFmtId="0" fontId="1" fillId="5" borderId="48" xfId="0" applyNumberFormat="1" applyFont="1" applyFill="1" applyBorder="1" applyAlignment="1">
      <alignment horizontal="center"/>
    </xf>
    <xf numFmtId="0" fontId="1" fillId="16" borderId="1" xfId="0" applyNumberFormat="1" applyFont="1" applyFill="1" applyBorder="1" applyAlignment="1">
      <alignment horizontal="left" vertical="center"/>
    </xf>
    <xf numFmtId="0" fontId="2" fillId="16" borderId="1" xfId="0" applyNumberFormat="1" applyFont="1" applyFill="1" applyBorder="1" applyAlignment="1">
      <alignment horizontal="left" vertical="center"/>
    </xf>
    <xf numFmtId="0" fontId="1" fillId="11" borderId="1" xfId="0" applyNumberFormat="1" applyFont="1" applyFill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1" fillId="0" borderId="3" xfId="0" applyNumberFormat="1" applyFont="1" applyBorder="1" applyAlignment="1">
      <alignment horizontal="left" vertical="center"/>
    </xf>
    <xf numFmtId="0" fontId="4" fillId="18" borderId="5" xfId="0" applyNumberFormat="1" applyFont="1" applyFill="1" applyBorder="1" applyAlignment="1">
      <alignment horizontal="center"/>
    </xf>
    <xf numFmtId="0" fontId="4" fillId="18" borderId="16" xfId="0" applyNumberFormat="1" applyFont="1" applyFill="1" applyBorder="1" applyAlignment="1">
      <alignment horizontal="center"/>
    </xf>
    <xf numFmtId="0" fontId="4" fillId="18" borderId="6" xfId="0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2" fillId="8" borderId="34" xfId="0" applyNumberFormat="1" applyFont="1" applyFill="1" applyBorder="1" applyAlignment="1">
      <alignment horizontal="center"/>
    </xf>
    <xf numFmtId="0" fontId="2" fillId="8" borderId="33" xfId="0" applyNumberFormat="1" applyFont="1" applyFill="1" applyBorder="1" applyAlignment="1">
      <alignment horizontal="center"/>
    </xf>
    <xf numFmtId="0" fontId="2" fillId="8" borderId="50" xfId="0" applyNumberFormat="1" applyFont="1" applyFill="1" applyBorder="1" applyAlignment="1">
      <alignment horizontal="center"/>
    </xf>
    <xf numFmtId="0" fontId="2" fillId="8" borderId="34" xfId="0" applyFont="1" applyFill="1" applyBorder="1" applyAlignment="1">
      <alignment horizontal="center"/>
    </xf>
    <xf numFmtId="0" fontId="2" fillId="8" borderId="50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2" fillId="5" borderId="17" xfId="0" applyNumberFormat="1" applyFont="1" applyFill="1" applyBorder="1" applyAlignment="1">
      <alignment horizontal="center"/>
    </xf>
    <xf numFmtId="0" fontId="2" fillId="5" borderId="25" xfId="0" applyNumberFormat="1" applyFont="1" applyFill="1" applyBorder="1" applyAlignment="1">
      <alignment horizontal="center"/>
    </xf>
    <xf numFmtId="0" fontId="2" fillId="5" borderId="18" xfId="0" applyNumberFormat="1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5" borderId="47" xfId="0" applyFont="1" applyFill="1" applyBorder="1" applyAlignment="1">
      <alignment horizontal="center"/>
    </xf>
    <xf numFmtId="0" fontId="8" fillId="7" borderId="5" xfId="0" applyNumberFormat="1" applyFont="1" applyFill="1" applyBorder="1" applyAlignment="1">
      <alignment horizontal="center" vertical="center" wrapText="1"/>
    </xf>
    <xf numFmtId="0" fontId="8" fillId="7" borderId="16" xfId="0" applyNumberFormat="1" applyFont="1" applyFill="1" applyBorder="1" applyAlignment="1">
      <alignment horizontal="center" vertical="center" wrapText="1"/>
    </xf>
    <xf numFmtId="0" fontId="8" fillId="7" borderId="6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Border="1" applyAlignment="1">
      <alignment horizontal="left"/>
    </xf>
    <xf numFmtId="0" fontId="1" fillId="0" borderId="25" xfId="0" applyNumberFormat="1" applyFont="1" applyBorder="1" applyAlignment="1">
      <alignment horizontal="left"/>
    </xf>
    <xf numFmtId="0" fontId="1" fillId="2" borderId="7" xfId="0" applyNumberFormat="1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left"/>
    </xf>
    <xf numFmtId="0" fontId="1" fillId="16" borderId="32" xfId="0" applyNumberFormat="1" applyFont="1" applyFill="1" applyBorder="1" applyAlignment="1">
      <alignment horizontal="left"/>
    </xf>
    <xf numFmtId="0" fontId="1" fillId="0" borderId="32" xfId="0" applyNumberFormat="1" applyFont="1" applyBorder="1" applyAlignment="1">
      <alignment horizontal="left"/>
    </xf>
    <xf numFmtId="0" fontId="1" fillId="8" borderId="17" xfId="0" applyNumberFormat="1" applyFont="1" applyFill="1" applyBorder="1" applyAlignment="1">
      <alignment horizontal="center" vertical="center"/>
    </xf>
    <xf numFmtId="0" fontId="1" fillId="8" borderId="25" xfId="0" applyNumberFormat="1" applyFont="1" applyFill="1" applyBorder="1" applyAlignment="1">
      <alignment horizontal="center" vertical="center"/>
    </xf>
    <xf numFmtId="0" fontId="1" fillId="8" borderId="18" xfId="0" applyNumberFormat="1" applyFont="1" applyFill="1" applyBorder="1" applyAlignment="1">
      <alignment horizontal="center" vertical="center"/>
    </xf>
    <xf numFmtId="0" fontId="1" fillId="0" borderId="55" xfId="0" applyNumberFormat="1" applyFont="1" applyBorder="1" applyAlignment="1">
      <alignment horizontal="center" vertical="center"/>
    </xf>
    <xf numFmtId="0" fontId="1" fillId="0" borderId="51" xfId="0" applyNumberFormat="1" applyFont="1" applyBorder="1" applyAlignment="1">
      <alignment horizontal="center" vertical="center"/>
    </xf>
    <xf numFmtId="0" fontId="1" fillId="0" borderId="56" xfId="0" applyNumberFormat="1" applyFont="1" applyBorder="1" applyAlignment="1">
      <alignment horizontal="center" vertical="center"/>
    </xf>
    <xf numFmtId="0" fontId="1" fillId="0" borderId="57" xfId="0" applyNumberFormat="1" applyFont="1" applyBorder="1" applyAlignment="1">
      <alignment horizontal="center" vertical="center"/>
    </xf>
    <xf numFmtId="0" fontId="1" fillId="0" borderId="52" xfId="0" applyNumberFormat="1" applyFont="1" applyBorder="1" applyAlignment="1">
      <alignment horizontal="center"/>
    </xf>
    <xf numFmtId="0" fontId="1" fillId="19" borderId="5" xfId="0" applyNumberFormat="1" applyFont="1" applyFill="1" applyBorder="1" applyAlignment="1">
      <alignment horizontal="center"/>
    </xf>
    <xf numFmtId="0" fontId="1" fillId="19" borderId="16" xfId="0" applyNumberFormat="1" applyFont="1" applyFill="1" applyBorder="1" applyAlignment="1">
      <alignment horizontal="center"/>
    </xf>
    <xf numFmtId="0" fontId="1" fillId="19" borderId="6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left"/>
    </xf>
    <xf numFmtId="0" fontId="2" fillId="16" borderId="32" xfId="0" applyNumberFormat="1" applyFont="1" applyFill="1" applyBorder="1" applyAlignment="1">
      <alignment horizontal="left"/>
    </xf>
    <xf numFmtId="0" fontId="1" fillId="0" borderId="58" xfId="0" applyNumberFormat="1" applyFont="1" applyBorder="1" applyAlignment="1">
      <alignment horizontal="left"/>
    </xf>
    <xf numFmtId="0" fontId="1" fillId="0" borderId="0" xfId="0" applyNumberFormat="1" applyFont="1" applyAlignment="1">
      <alignment horizontal="left"/>
    </xf>
    <xf numFmtId="0" fontId="1" fillId="0" borderId="53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left"/>
    </xf>
    <xf numFmtId="0" fontId="1" fillId="5" borderId="10" xfId="0" applyNumberFormat="1" applyFont="1" applyFill="1" applyBorder="1" applyAlignment="1">
      <alignment horizontal="right"/>
    </xf>
    <xf numFmtId="0" fontId="1" fillId="5" borderId="11" xfId="0" applyNumberFormat="1" applyFont="1" applyFill="1" applyBorder="1" applyAlignment="1">
      <alignment horizontal="right"/>
    </xf>
    <xf numFmtId="0" fontId="1" fillId="5" borderId="12" xfId="0" applyNumberFormat="1" applyFont="1" applyFill="1" applyBorder="1" applyAlignment="1">
      <alignment horizontal="right"/>
    </xf>
    <xf numFmtId="0" fontId="1" fillId="3" borderId="34" xfId="0" applyFont="1" applyFill="1" applyBorder="1" applyAlignment="1">
      <alignment horizontal="left"/>
    </xf>
    <xf numFmtId="0" fontId="1" fillId="3" borderId="33" xfId="0" applyFont="1" applyFill="1" applyBorder="1" applyAlignment="1">
      <alignment horizontal="left"/>
    </xf>
    <xf numFmtId="0" fontId="1" fillId="3" borderId="50" xfId="0" applyFont="1" applyFill="1" applyBorder="1" applyAlignment="1">
      <alignment horizontal="left"/>
    </xf>
    <xf numFmtId="0" fontId="1" fillId="0" borderId="7" xfId="0" applyNumberFormat="1" applyFont="1" applyBorder="1" applyAlignment="1">
      <alignment horizontal="left"/>
    </xf>
    <xf numFmtId="0" fontId="2" fillId="9" borderId="44" xfId="0" applyNumberFormat="1" applyFont="1" applyFill="1" applyBorder="1" applyAlignment="1">
      <alignment horizontal="left"/>
    </xf>
    <xf numFmtId="0" fontId="2" fillId="14" borderId="34" xfId="0" applyNumberFormat="1" applyFont="1" applyFill="1" applyBorder="1" applyAlignment="1">
      <alignment horizontal="center"/>
    </xf>
    <xf numFmtId="0" fontId="2" fillId="14" borderId="33" xfId="0" applyNumberFormat="1" applyFont="1" applyFill="1" applyBorder="1" applyAlignment="1">
      <alignment horizontal="center"/>
    </xf>
    <xf numFmtId="0" fontId="2" fillId="14" borderId="50" xfId="0" applyNumberFormat="1" applyFont="1" applyFill="1" applyBorder="1" applyAlignment="1">
      <alignment horizontal="center"/>
    </xf>
    <xf numFmtId="0" fontId="1" fillId="5" borderId="17" xfId="0" applyNumberFormat="1" applyFont="1" applyFill="1" applyBorder="1" applyAlignment="1">
      <alignment horizontal="right"/>
    </xf>
    <xf numFmtId="0" fontId="1" fillId="5" borderId="25" xfId="0" applyNumberFormat="1" applyFont="1" applyFill="1" applyBorder="1" applyAlignment="1">
      <alignment horizontal="right"/>
    </xf>
    <xf numFmtId="0" fontId="1" fillId="5" borderId="18" xfId="0" applyNumberFormat="1" applyFont="1" applyFill="1" applyBorder="1" applyAlignment="1">
      <alignment horizontal="right"/>
    </xf>
    <xf numFmtId="0" fontId="1" fillId="16" borderId="22" xfId="0" applyNumberFormat="1" applyFont="1" applyFill="1" applyBorder="1" applyAlignment="1">
      <alignment horizontal="left"/>
    </xf>
    <xf numFmtId="0" fontId="1" fillId="16" borderId="23" xfId="0" applyNumberFormat="1" applyFont="1" applyFill="1" applyBorder="1" applyAlignment="1">
      <alignment horizontal="left"/>
    </xf>
    <xf numFmtId="0" fontId="1" fillId="0" borderId="10" xfId="0" applyNumberFormat="1" applyFont="1" applyBorder="1" applyAlignment="1">
      <alignment horizontal="left"/>
    </xf>
    <xf numFmtId="0" fontId="1" fillId="0" borderId="11" xfId="0" applyNumberFormat="1" applyFont="1" applyBorder="1" applyAlignment="1">
      <alignment horizontal="left"/>
    </xf>
    <xf numFmtId="0" fontId="21" fillId="0" borderId="59" xfId="0" applyNumberFormat="1" applyFont="1" applyBorder="1" applyAlignment="1">
      <alignment horizontal="center" vertical="center"/>
    </xf>
  </cellXfs>
  <cellStyles count="1">
    <cellStyle name="Normal" xfId="0" builtinId="0"/>
  </cellStyles>
  <dxfs count="50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CCFFCC"/>
      <rgbColor rgb="FFFF0000"/>
      <rgbColor rgb="FFFFFFFF"/>
      <rgbColor rgb="FFC2D69B"/>
      <rgbColor rgb="FFFFFF00"/>
      <rgbColor rgb="FFC1FFC1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4</xdr:row>
      <xdr:rowOff>276225</xdr:rowOff>
    </xdr:from>
    <xdr:to>
      <xdr:col>10</xdr:col>
      <xdr:colOff>956037</xdr:colOff>
      <xdr:row>9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1619250"/>
          <a:ext cx="3261087" cy="600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73</xdr:row>
      <xdr:rowOff>180975</xdr:rowOff>
    </xdr:from>
    <xdr:to>
      <xdr:col>6</xdr:col>
      <xdr:colOff>666750</xdr:colOff>
      <xdr:row>75</xdr:row>
      <xdr:rowOff>0</xdr:rowOff>
    </xdr:to>
    <xdr:sp macro="" textlink="">
      <xdr:nvSpPr>
        <xdr:cNvPr id="2" name="Right Arrow 1"/>
        <xdr:cNvSpPr/>
      </xdr:nvSpPr>
      <xdr:spPr>
        <a:xfrm>
          <a:off x="5400675" y="154686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26</xdr:row>
      <xdr:rowOff>152400</xdr:rowOff>
    </xdr:from>
    <xdr:to>
      <xdr:col>6</xdr:col>
      <xdr:colOff>666750</xdr:colOff>
      <xdr:row>27</xdr:row>
      <xdr:rowOff>180975</xdr:rowOff>
    </xdr:to>
    <xdr:sp macro="" textlink="">
      <xdr:nvSpPr>
        <xdr:cNvPr id="3" name="Right Arrow 2"/>
        <xdr:cNvSpPr/>
      </xdr:nvSpPr>
      <xdr:spPr>
        <a:xfrm>
          <a:off x="4610100" y="605790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105</xdr:row>
      <xdr:rowOff>180975</xdr:rowOff>
    </xdr:from>
    <xdr:to>
      <xdr:col>6</xdr:col>
      <xdr:colOff>666750</xdr:colOff>
      <xdr:row>107</xdr:row>
      <xdr:rowOff>0</xdr:rowOff>
    </xdr:to>
    <xdr:sp macro="" textlink="">
      <xdr:nvSpPr>
        <xdr:cNvPr id="4" name="Right Arrow 3"/>
        <xdr:cNvSpPr/>
      </xdr:nvSpPr>
      <xdr:spPr>
        <a:xfrm>
          <a:off x="5400675" y="218503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10</xdr:col>
      <xdr:colOff>302796</xdr:colOff>
      <xdr:row>9</xdr:row>
      <xdr:rowOff>13006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028825"/>
          <a:ext cx="3255546" cy="6035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73</xdr:row>
      <xdr:rowOff>180975</xdr:rowOff>
    </xdr:from>
    <xdr:to>
      <xdr:col>6</xdr:col>
      <xdr:colOff>666750</xdr:colOff>
      <xdr:row>75</xdr:row>
      <xdr:rowOff>0</xdr:rowOff>
    </xdr:to>
    <xdr:sp macro="" textlink="">
      <xdr:nvSpPr>
        <xdr:cNvPr id="2" name="Right Arrow 1"/>
        <xdr:cNvSpPr/>
      </xdr:nvSpPr>
      <xdr:spPr>
        <a:xfrm>
          <a:off x="5400675" y="154686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26</xdr:row>
      <xdr:rowOff>152400</xdr:rowOff>
    </xdr:from>
    <xdr:to>
      <xdr:col>6</xdr:col>
      <xdr:colOff>666750</xdr:colOff>
      <xdr:row>27</xdr:row>
      <xdr:rowOff>180975</xdr:rowOff>
    </xdr:to>
    <xdr:sp macro="" textlink="">
      <xdr:nvSpPr>
        <xdr:cNvPr id="3" name="Right Arrow 2"/>
        <xdr:cNvSpPr/>
      </xdr:nvSpPr>
      <xdr:spPr>
        <a:xfrm>
          <a:off x="4610100" y="605790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105</xdr:row>
      <xdr:rowOff>180975</xdr:rowOff>
    </xdr:from>
    <xdr:to>
      <xdr:col>6</xdr:col>
      <xdr:colOff>666750</xdr:colOff>
      <xdr:row>107</xdr:row>
      <xdr:rowOff>0</xdr:rowOff>
    </xdr:to>
    <xdr:sp macro="" textlink="">
      <xdr:nvSpPr>
        <xdr:cNvPr id="4" name="Right Arrow 3"/>
        <xdr:cNvSpPr/>
      </xdr:nvSpPr>
      <xdr:spPr>
        <a:xfrm>
          <a:off x="5400675" y="218503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626646</xdr:colOff>
      <xdr:row>9</xdr:row>
      <xdr:rowOff>13006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028825"/>
          <a:ext cx="2645946" cy="6035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73</xdr:row>
      <xdr:rowOff>180975</xdr:rowOff>
    </xdr:from>
    <xdr:to>
      <xdr:col>6</xdr:col>
      <xdr:colOff>666750</xdr:colOff>
      <xdr:row>75</xdr:row>
      <xdr:rowOff>0</xdr:rowOff>
    </xdr:to>
    <xdr:sp macro="" textlink="">
      <xdr:nvSpPr>
        <xdr:cNvPr id="3" name="Right Arrow 2"/>
        <xdr:cNvSpPr/>
      </xdr:nvSpPr>
      <xdr:spPr>
        <a:xfrm>
          <a:off x="5400675" y="103441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26</xdr:row>
      <xdr:rowOff>152400</xdr:rowOff>
    </xdr:from>
    <xdr:to>
      <xdr:col>6</xdr:col>
      <xdr:colOff>666750</xdr:colOff>
      <xdr:row>27</xdr:row>
      <xdr:rowOff>180975</xdr:rowOff>
    </xdr:to>
    <xdr:sp macro="" textlink="">
      <xdr:nvSpPr>
        <xdr:cNvPr id="5" name="Right Arrow 4"/>
        <xdr:cNvSpPr/>
      </xdr:nvSpPr>
      <xdr:spPr>
        <a:xfrm>
          <a:off x="4610100" y="5362575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105</xdr:row>
      <xdr:rowOff>180975</xdr:rowOff>
    </xdr:from>
    <xdr:to>
      <xdr:col>6</xdr:col>
      <xdr:colOff>666750</xdr:colOff>
      <xdr:row>107</xdr:row>
      <xdr:rowOff>0</xdr:rowOff>
    </xdr:to>
    <xdr:sp macro="" textlink="">
      <xdr:nvSpPr>
        <xdr:cNvPr id="6" name="Right Arrow 5"/>
        <xdr:cNvSpPr/>
      </xdr:nvSpPr>
      <xdr:spPr>
        <a:xfrm>
          <a:off x="5400675" y="111252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11</xdr:col>
      <xdr:colOff>131346</xdr:colOff>
      <xdr:row>9</xdr:row>
      <xdr:rowOff>13006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1524000"/>
          <a:ext cx="3255546" cy="6035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13</xdr:row>
      <xdr:rowOff>0</xdr:rowOff>
    </xdr:from>
    <xdr:to>
      <xdr:col>5</xdr:col>
      <xdr:colOff>666750</xdr:colOff>
      <xdr:row>14</xdr:row>
      <xdr:rowOff>76200</xdr:rowOff>
    </xdr:to>
    <xdr:sp macro="" textlink="">
      <xdr:nvSpPr>
        <xdr:cNvPr id="2" name="Right Arrow 1"/>
        <xdr:cNvSpPr/>
      </xdr:nvSpPr>
      <xdr:spPr>
        <a:xfrm>
          <a:off x="4619625" y="9391650"/>
          <a:ext cx="523875" cy="27622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sp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74</xdr:row>
      <xdr:rowOff>180975</xdr:rowOff>
    </xdr:from>
    <xdr:to>
      <xdr:col>6</xdr:col>
      <xdr:colOff>666750</xdr:colOff>
      <xdr:row>76</xdr:row>
      <xdr:rowOff>0</xdr:rowOff>
    </xdr:to>
    <xdr:sp macro="" textlink="">
      <xdr:nvSpPr>
        <xdr:cNvPr id="2" name="Right Arrow 1"/>
        <xdr:cNvSpPr/>
      </xdr:nvSpPr>
      <xdr:spPr>
        <a:xfrm>
          <a:off x="5400675" y="165925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27</xdr:row>
      <xdr:rowOff>152400</xdr:rowOff>
    </xdr:from>
    <xdr:to>
      <xdr:col>6</xdr:col>
      <xdr:colOff>666750</xdr:colOff>
      <xdr:row>28</xdr:row>
      <xdr:rowOff>180975</xdr:rowOff>
    </xdr:to>
    <xdr:sp macro="" textlink="">
      <xdr:nvSpPr>
        <xdr:cNvPr id="3" name="Right Arrow 2"/>
        <xdr:cNvSpPr/>
      </xdr:nvSpPr>
      <xdr:spPr>
        <a:xfrm>
          <a:off x="4610100" y="718185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106</xdr:row>
      <xdr:rowOff>180975</xdr:rowOff>
    </xdr:from>
    <xdr:to>
      <xdr:col>6</xdr:col>
      <xdr:colOff>666750</xdr:colOff>
      <xdr:row>108</xdr:row>
      <xdr:rowOff>0</xdr:rowOff>
    </xdr:to>
    <xdr:sp macro="" textlink="">
      <xdr:nvSpPr>
        <xdr:cNvPr id="4" name="Right Arrow 3"/>
        <xdr:cNvSpPr/>
      </xdr:nvSpPr>
      <xdr:spPr>
        <a:xfrm>
          <a:off x="5400675" y="229743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7</xdr:row>
      <xdr:rowOff>0</xdr:rowOff>
    </xdr:from>
    <xdr:to>
      <xdr:col>10</xdr:col>
      <xdr:colOff>302796</xdr:colOff>
      <xdr:row>10</xdr:row>
      <xdr:rowOff>13006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3152775"/>
          <a:ext cx="3255546" cy="6035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74</xdr:row>
      <xdr:rowOff>180975</xdr:rowOff>
    </xdr:from>
    <xdr:to>
      <xdr:col>6</xdr:col>
      <xdr:colOff>666750</xdr:colOff>
      <xdr:row>76</xdr:row>
      <xdr:rowOff>0</xdr:rowOff>
    </xdr:to>
    <xdr:sp macro="" textlink="">
      <xdr:nvSpPr>
        <xdr:cNvPr id="2" name="Right Arrow 1"/>
        <xdr:cNvSpPr/>
      </xdr:nvSpPr>
      <xdr:spPr>
        <a:xfrm>
          <a:off x="5400675" y="165925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27</xdr:row>
      <xdr:rowOff>152400</xdr:rowOff>
    </xdr:from>
    <xdr:to>
      <xdr:col>6</xdr:col>
      <xdr:colOff>666750</xdr:colOff>
      <xdr:row>28</xdr:row>
      <xdr:rowOff>180975</xdr:rowOff>
    </xdr:to>
    <xdr:sp macro="" textlink="">
      <xdr:nvSpPr>
        <xdr:cNvPr id="3" name="Right Arrow 2"/>
        <xdr:cNvSpPr/>
      </xdr:nvSpPr>
      <xdr:spPr>
        <a:xfrm>
          <a:off x="4610100" y="718185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106</xdr:row>
      <xdr:rowOff>180975</xdr:rowOff>
    </xdr:from>
    <xdr:to>
      <xdr:col>6</xdr:col>
      <xdr:colOff>666750</xdr:colOff>
      <xdr:row>108</xdr:row>
      <xdr:rowOff>0</xdr:rowOff>
    </xdr:to>
    <xdr:sp macro="" textlink="">
      <xdr:nvSpPr>
        <xdr:cNvPr id="4" name="Right Arrow 3"/>
        <xdr:cNvSpPr/>
      </xdr:nvSpPr>
      <xdr:spPr>
        <a:xfrm>
          <a:off x="5400675" y="229743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28575</xdr:colOff>
      <xdr:row>7</xdr:row>
      <xdr:rowOff>19050</xdr:rowOff>
    </xdr:from>
    <xdr:to>
      <xdr:col>10</xdr:col>
      <xdr:colOff>331318</xdr:colOff>
      <xdr:row>10</xdr:row>
      <xdr:rowOff>32056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171825"/>
          <a:ext cx="2645893" cy="6035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10</xdr:col>
      <xdr:colOff>302743</xdr:colOff>
      <xdr:row>10</xdr:row>
      <xdr:rowOff>13006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3152775"/>
          <a:ext cx="2645893" cy="6035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73</xdr:row>
      <xdr:rowOff>180975</xdr:rowOff>
    </xdr:from>
    <xdr:to>
      <xdr:col>6</xdr:col>
      <xdr:colOff>666750</xdr:colOff>
      <xdr:row>75</xdr:row>
      <xdr:rowOff>0</xdr:rowOff>
    </xdr:to>
    <xdr:sp macro="" textlink="">
      <xdr:nvSpPr>
        <xdr:cNvPr id="2" name="Right Arrow 1"/>
        <xdr:cNvSpPr/>
      </xdr:nvSpPr>
      <xdr:spPr>
        <a:xfrm>
          <a:off x="5400675" y="154686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26</xdr:row>
      <xdr:rowOff>152400</xdr:rowOff>
    </xdr:from>
    <xdr:to>
      <xdr:col>6</xdr:col>
      <xdr:colOff>666750</xdr:colOff>
      <xdr:row>27</xdr:row>
      <xdr:rowOff>180975</xdr:rowOff>
    </xdr:to>
    <xdr:sp macro="" textlink="">
      <xdr:nvSpPr>
        <xdr:cNvPr id="3" name="Right Arrow 2"/>
        <xdr:cNvSpPr/>
      </xdr:nvSpPr>
      <xdr:spPr>
        <a:xfrm>
          <a:off x="4610100" y="605790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105</xdr:row>
      <xdr:rowOff>180975</xdr:rowOff>
    </xdr:from>
    <xdr:to>
      <xdr:col>6</xdr:col>
      <xdr:colOff>666750</xdr:colOff>
      <xdr:row>107</xdr:row>
      <xdr:rowOff>0</xdr:rowOff>
    </xdr:to>
    <xdr:sp macro="" textlink="">
      <xdr:nvSpPr>
        <xdr:cNvPr id="4" name="Right Arrow 3"/>
        <xdr:cNvSpPr/>
      </xdr:nvSpPr>
      <xdr:spPr>
        <a:xfrm>
          <a:off x="5400675" y="218503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10</xdr:col>
      <xdr:colOff>302796</xdr:colOff>
      <xdr:row>9</xdr:row>
      <xdr:rowOff>13006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028825"/>
          <a:ext cx="3255546" cy="6035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73</xdr:row>
      <xdr:rowOff>180975</xdr:rowOff>
    </xdr:from>
    <xdr:to>
      <xdr:col>6</xdr:col>
      <xdr:colOff>666750</xdr:colOff>
      <xdr:row>75</xdr:row>
      <xdr:rowOff>0</xdr:rowOff>
    </xdr:to>
    <xdr:sp macro="" textlink="">
      <xdr:nvSpPr>
        <xdr:cNvPr id="2" name="Right Arrow 1"/>
        <xdr:cNvSpPr/>
      </xdr:nvSpPr>
      <xdr:spPr>
        <a:xfrm>
          <a:off x="5400675" y="1546860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5</xdr:col>
      <xdr:colOff>133350</xdr:colOff>
      <xdr:row>26</xdr:row>
      <xdr:rowOff>152400</xdr:rowOff>
    </xdr:from>
    <xdr:to>
      <xdr:col>6</xdr:col>
      <xdr:colOff>666750</xdr:colOff>
      <xdr:row>27</xdr:row>
      <xdr:rowOff>180975</xdr:rowOff>
    </xdr:to>
    <xdr:sp macro="" textlink="">
      <xdr:nvSpPr>
        <xdr:cNvPr id="3" name="Right Arrow 2"/>
        <xdr:cNvSpPr/>
      </xdr:nvSpPr>
      <xdr:spPr>
        <a:xfrm>
          <a:off x="4610100" y="6057900"/>
          <a:ext cx="1314450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>
    <xdr:from>
      <xdr:col>6</xdr:col>
      <xdr:colOff>142875</xdr:colOff>
      <xdr:row>105</xdr:row>
      <xdr:rowOff>180975</xdr:rowOff>
    </xdr:from>
    <xdr:to>
      <xdr:col>6</xdr:col>
      <xdr:colOff>666750</xdr:colOff>
      <xdr:row>107</xdr:row>
      <xdr:rowOff>0</xdr:rowOff>
    </xdr:to>
    <xdr:sp macro="" textlink="">
      <xdr:nvSpPr>
        <xdr:cNvPr id="4" name="Right Arrow 3"/>
        <xdr:cNvSpPr/>
      </xdr:nvSpPr>
      <xdr:spPr>
        <a:xfrm>
          <a:off x="5400675" y="21850350"/>
          <a:ext cx="523875" cy="219075"/>
        </a:xfrm>
        <a:prstGeom prst="rightArrow">
          <a:avLst/>
        </a:prstGeom>
        <a:solidFill>
          <a:schemeClr val="accent1"/>
        </a:solidFill>
        <a:ln w="12700" cap="flat">
          <a:noFill/>
          <a:miter lim="400000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clip" horzOverflow="clip" vert="horz" wrap="square" lIns="50800" tIns="50800" rIns="50800" bIns="50800" numCol="1" spcCol="38100" rtlCol="0" anchor="t">
          <a:noAutofit/>
        </a:bodyPr>
        <a:lstStyle/>
        <a:p>
          <a:pPr marL="0" marR="0" indent="0" algn="l" defTabSz="4572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10</xdr:col>
      <xdr:colOff>302796</xdr:colOff>
      <xdr:row>9</xdr:row>
      <xdr:rowOff>13006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028825"/>
          <a:ext cx="3255546" cy="6035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5</xdr:row>
      <xdr:rowOff>9525</xdr:rowOff>
    </xdr:from>
    <xdr:to>
      <xdr:col>9</xdr:col>
      <xdr:colOff>613137</xdr:colOff>
      <xdr:row>9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657350"/>
          <a:ext cx="3261087" cy="60007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V230"/>
  <sheetViews>
    <sheetView showGridLines="0" tabSelected="1" topLeftCell="A4" zoomScaleNormal="100" workbookViewId="0">
      <selection activeCell="P31" sqref="P31"/>
    </sheetView>
  </sheetViews>
  <sheetFormatPr defaultColWidth="6.59765625" defaultRowHeight="12.75" customHeight="1" x14ac:dyDescent="0.2"/>
  <cols>
    <col min="1" max="1" width="8.296875" style="1" customWidth="1"/>
    <col min="2" max="2" width="17.09765625" style="1" customWidth="1"/>
    <col min="3" max="3" width="5.19921875" style="1" customWidth="1"/>
    <col min="4" max="10" width="8.19921875" style="1" customWidth="1"/>
    <col min="11" max="11" width="13.5" style="1" customWidth="1"/>
    <col min="12" max="12" width="6.3984375" style="1" customWidth="1"/>
    <col min="13" max="13" width="6.8984375" style="1" customWidth="1"/>
    <col min="14" max="14" width="6.3984375" style="1" customWidth="1"/>
    <col min="15" max="15" width="6.796875" style="1" customWidth="1"/>
    <col min="16" max="16" width="6.8984375" style="1" customWidth="1"/>
    <col min="17" max="17" width="6.59765625" style="1" customWidth="1"/>
    <col min="18" max="18" width="6" style="1" customWidth="1"/>
    <col min="19" max="19" width="6.59765625" style="1" customWidth="1"/>
    <col min="20" max="20" width="5.5" style="1" customWidth="1"/>
    <col min="21" max="24" width="6.59765625" style="1" customWidth="1"/>
    <col min="25" max="25" width="5.8984375" style="1" customWidth="1"/>
    <col min="26" max="256" width="6.59765625" style="1" customWidth="1"/>
  </cols>
  <sheetData>
    <row r="1" spans="1:256" ht="31.5" customHeight="1" thickBot="1" x14ac:dyDescent="0.25">
      <c r="A1" s="198" t="s">
        <v>98</v>
      </c>
      <c r="B1" s="199"/>
      <c r="C1" s="199"/>
      <c r="D1" s="199"/>
      <c r="E1" s="199"/>
      <c r="F1" s="199"/>
      <c r="G1" s="199"/>
      <c r="H1" s="199"/>
      <c r="I1" s="199"/>
      <c r="J1" s="199"/>
      <c r="K1" s="200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1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134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6.25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4.25" customHeight="1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5.25" customHeight="1" thickBot="1" x14ac:dyDescent="0.25">
      <c r="A7" s="32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2.75" customHeight="1" thickBot="1" x14ac:dyDescent="0.25">
      <c r="B8" s="43" t="s">
        <v>39</v>
      </c>
      <c r="C8" s="44"/>
      <c r="D8" s="44"/>
      <c r="E8" s="4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2.75" customHeight="1" x14ac:dyDescent="0.2">
      <c r="B9" s="5" t="s">
        <v>37</v>
      </c>
      <c r="C9" s="149" t="s">
        <v>42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8" customHeight="1" x14ac:dyDescent="0.3">
      <c r="B10" s="2" t="s">
        <v>38</v>
      </c>
      <c r="C10" s="150"/>
      <c r="H10" s="182" t="s">
        <v>221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2.75" customHeight="1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2.75" customHeight="1" x14ac:dyDescent="0.2">
      <c r="B12" s="208" t="s">
        <v>23</v>
      </c>
      <c r="C12" s="208"/>
      <c r="D12" s="4" t="s">
        <v>135</v>
      </c>
      <c r="E12" s="4" t="s">
        <v>47</v>
      </c>
      <c r="F12" s="153">
        <v>30</v>
      </c>
      <c r="I12" s="8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75" customHeight="1" x14ac:dyDescent="0.2">
      <c r="B13" s="258" t="s">
        <v>8</v>
      </c>
      <c r="C13" s="259"/>
      <c r="D13" s="6" t="s">
        <v>9</v>
      </c>
      <c r="E13" s="6" t="s">
        <v>10</v>
      </c>
      <c r="F13" s="152">
        <v>15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7.5" customHeight="1" x14ac:dyDescent="0.2">
      <c r="B14" s="3"/>
      <c r="C14" s="3"/>
      <c r="D14" s="7"/>
      <c r="E14" s="7"/>
      <c r="F14" s="8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2.75" customHeight="1" x14ac:dyDescent="0.2">
      <c r="B15" s="12" t="s">
        <v>44</v>
      </c>
      <c r="C15" s="3"/>
      <c r="D15" s="7"/>
      <c r="E15" s="7"/>
      <c r="F15" s="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4.5" customHeight="1" x14ac:dyDescent="0.2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2.75" customHeight="1" x14ac:dyDescent="0.2">
      <c r="A17" s="3"/>
      <c r="B17" s="221" t="s">
        <v>0</v>
      </c>
      <c r="C17" s="222"/>
      <c r="D17" s="4" t="s">
        <v>1</v>
      </c>
      <c r="E17" s="4" t="s">
        <v>2</v>
      </c>
      <c r="F17" s="47">
        <f>IF(C9 &lt;&gt;0,101800,43700)</f>
        <v>101800</v>
      </c>
      <c r="G17" s="18"/>
      <c r="H17" s="1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2.75" customHeight="1" x14ac:dyDescent="0.2">
      <c r="A18" s="3"/>
      <c r="B18" s="221" t="s">
        <v>40</v>
      </c>
      <c r="C18" s="222"/>
      <c r="D18" s="4" t="s">
        <v>41</v>
      </c>
      <c r="E18" s="4" t="s">
        <v>2</v>
      </c>
      <c r="F18" s="47">
        <f>IF(C9&lt;&gt;0,93600,39500)</f>
        <v>93600</v>
      </c>
      <c r="G18" s="18"/>
      <c r="H18" s="1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2.75" customHeight="1" x14ac:dyDescent="0.2">
      <c r="A19" s="3"/>
      <c r="B19" s="221" t="s">
        <v>3</v>
      </c>
      <c r="C19" s="222"/>
      <c r="D19" s="4" t="s">
        <v>4</v>
      </c>
      <c r="E19" s="4" t="s">
        <v>5</v>
      </c>
      <c r="F19" s="46">
        <f>IF(C9&lt;&gt;0,1.555,0.6369)</f>
        <v>1.5549999999999999</v>
      </c>
      <c r="G19" s="20"/>
      <c r="H19" s="2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2.75" customHeight="1" x14ac:dyDescent="0.2">
      <c r="A20" s="3"/>
      <c r="B20" s="221" t="s">
        <v>6</v>
      </c>
      <c r="C20" s="222"/>
      <c r="D20" s="11" t="s">
        <v>21</v>
      </c>
      <c r="E20" s="4" t="s">
        <v>7</v>
      </c>
      <c r="F20" s="46">
        <f>IF(C9&lt;&gt;0,0.8,1.06)</f>
        <v>0.8</v>
      </c>
      <c r="G20" s="18"/>
      <c r="H20" s="1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2.75" customHeight="1" x14ac:dyDescent="0.2">
      <c r="A21" s="9"/>
      <c r="B21" s="221" t="s">
        <v>45</v>
      </c>
      <c r="C21" s="222"/>
      <c r="D21" s="17" t="s">
        <v>18</v>
      </c>
      <c r="E21" s="4" t="s">
        <v>43</v>
      </c>
      <c r="F21" s="46">
        <f>IF(C9&lt;&gt;0,2.02,0.82)</f>
        <v>2.02</v>
      </c>
      <c r="G21" s="19"/>
      <c r="H21" s="19"/>
      <c r="I21" s="3"/>
      <c r="J21" s="9"/>
      <c r="K21" s="9"/>
      <c r="L21" s="9"/>
      <c r="M21" s="9"/>
      <c r="N21" s="9"/>
      <c r="O21" s="9"/>
      <c r="P21" s="9"/>
      <c r="Q21" s="9"/>
      <c r="R21" s="9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2.75" customHeight="1" x14ac:dyDescent="0.2">
      <c r="A22" s="9"/>
      <c r="B22" s="9"/>
      <c r="C22" s="9"/>
      <c r="D22" s="3"/>
      <c r="E22" s="3"/>
      <c r="F22" s="3"/>
      <c r="G22" s="3"/>
      <c r="H22" s="3"/>
      <c r="I22" s="3"/>
      <c r="J22" s="9"/>
      <c r="K22" s="9"/>
      <c r="L22" s="9"/>
      <c r="M22" s="9"/>
      <c r="N22" s="9"/>
      <c r="O22" s="9"/>
      <c r="P22" s="9"/>
      <c r="Q22" s="9"/>
      <c r="R22" s="9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2.75" customHeight="1" x14ac:dyDescent="0.2">
      <c r="A23" s="9"/>
      <c r="B23" s="223" t="s">
        <v>174</v>
      </c>
      <c r="C23" s="223"/>
      <c r="D23" s="119" t="s">
        <v>175</v>
      </c>
      <c r="E23" s="121" t="s">
        <v>47</v>
      </c>
      <c r="F23" s="122">
        <v>2</v>
      </c>
      <c r="G23" s="3"/>
      <c r="H23" s="3"/>
      <c r="I23" s="3"/>
      <c r="J23" s="9"/>
      <c r="K23" s="9"/>
      <c r="L23" s="9"/>
      <c r="M23" s="9"/>
      <c r="N23" s="9"/>
      <c r="O23" s="9"/>
      <c r="P23" s="9"/>
      <c r="Q23" s="9"/>
      <c r="R23" s="9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2.75" customHeight="1" thickBot="1" x14ac:dyDescent="0.25">
      <c r="A24" s="9"/>
      <c r="B24" s="9"/>
      <c r="C24" s="9"/>
      <c r="D24" s="3"/>
      <c r="E24" s="3"/>
      <c r="F24" s="3"/>
      <c r="G24" s="3"/>
      <c r="H24" s="3"/>
      <c r="I24" s="3"/>
      <c r="J24" s="9"/>
      <c r="K24" s="9"/>
      <c r="L24" s="9"/>
      <c r="M24" s="9"/>
      <c r="N24" s="9"/>
      <c r="O24" s="9"/>
      <c r="P24" s="9"/>
      <c r="Q24" s="9"/>
      <c r="R24" s="9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2.75" customHeight="1" thickBot="1" x14ac:dyDescent="0.25">
      <c r="A25" s="22">
        <v>1</v>
      </c>
      <c r="B25" s="23" t="s">
        <v>11</v>
      </c>
      <c r="C25" s="24"/>
      <c r="D25" s="25"/>
      <c r="E25" s="25"/>
      <c r="F25" s="25"/>
      <c r="G25" s="25"/>
      <c r="H25" s="25"/>
      <c r="I25" s="25"/>
      <c r="J25" s="25"/>
      <c r="K25" s="26"/>
      <c r="L25" s="3"/>
      <c r="M25" s="12"/>
      <c r="N25" s="9"/>
      <c r="O25" s="9"/>
      <c r="P25" s="9"/>
      <c r="Q25" s="9"/>
      <c r="R25" s="9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2.75" customHeight="1" thickBot="1" x14ac:dyDescent="0.25">
      <c r="A26" s="9"/>
      <c r="B26" s="9"/>
      <c r="C26" s="9"/>
      <c r="D26" s="3"/>
      <c r="E26" s="10"/>
      <c r="F26" s="13"/>
      <c r="G26" s="3"/>
      <c r="H26" s="10"/>
      <c r="I26" s="13"/>
      <c r="J26" s="3"/>
      <c r="K26" s="9"/>
      <c r="L26" s="9"/>
      <c r="M26" s="3"/>
      <c r="N26" s="9"/>
      <c r="O26" s="9"/>
      <c r="P26" s="9"/>
      <c r="Q26" s="9"/>
      <c r="R26" s="9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2.75" customHeight="1" thickBot="1" x14ac:dyDescent="0.25">
      <c r="A27" s="9"/>
      <c r="B27" s="215" t="s">
        <v>81</v>
      </c>
      <c r="C27" s="216"/>
      <c r="D27" s="216"/>
      <c r="E27" s="216"/>
      <c r="F27" s="217"/>
      <c r="G27" s="3"/>
      <c r="H27" s="10"/>
      <c r="I27" s="13"/>
      <c r="J27" s="3"/>
      <c r="Z27" s="3"/>
      <c r="AA27" s="3"/>
      <c r="AB27" s="3"/>
      <c r="AC27" s="3"/>
      <c r="AD27" s="3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2.75" customHeight="1" x14ac:dyDescent="0.2">
      <c r="A28" s="9"/>
      <c r="B28" s="260" t="s">
        <v>12</v>
      </c>
      <c r="C28" s="261"/>
      <c r="D28" s="28" t="s">
        <v>13</v>
      </c>
      <c r="E28" s="78" t="s">
        <v>78</v>
      </c>
      <c r="F28" s="157">
        <v>200</v>
      </c>
      <c r="G28" s="9"/>
      <c r="H28" s="9"/>
      <c r="I28" s="9"/>
      <c r="J28" s="9"/>
      <c r="K28" s="86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3"/>
      <c r="AA28" s="3"/>
      <c r="AB28" s="3"/>
      <c r="AC28" s="3"/>
      <c r="AD28" s="3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2.75" customHeight="1" x14ac:dyDescent="0.2">
      <c r="A29" s="9"/>
      <c r="B29" s="262" t="s">
        <v>14</v>
      </c>
      <c r="C29" s="222"/>
      <c r="D29" s="27" t="s">
        <v>15</v>
      </c>
      <c r="E29" s="4" t="s">
        <v>96</v>
      </c>
      <c r="F29" s="158">
        <v>20</v>
      </c>
      <c r="G29" s="9" t="s">
        <v>120</v>
      </c>
      <c r="H29" s="9"/>
      <c r="I29" s="9"/>
      <c r="J29" s="9"/>
      <c r="K29" s="88"/>
      <c r="L29" s="86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3"/>
      <c r="AA29" s="3"/>
      <c r="AB29" s="3"/>
      <c r="AC29" s="3"/>
      <c r="AD29" s="3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2.75" customHeight="1" thickBot="1" x14ac:dyDescent="0.25">
      <c r="A30" s="9"/>
      <c r="B30" s="262" t="s">
        <v>16</v>
      </c>
      <c r="C30" s="222"/>
      <c r="D30" s="27" t="s">
        <v>17</v>
      </c>
      <c r="E30" s="4" t="s">
        <v>101</v>
      </c>
      <c r="F30" s="158">
        <v>0.5</v>
      </c>
      <c r="G30" s="9"/>
      <c r="H30" s="9"/>
      <c r="I30" s="9"/>
      <c r="J30" s="9"/>
      <c r="K30" s="9"/>
      <c r="L30" s="9"/>
      <c r="M30" s="3"/>
      <c r="N30" s="9"/>
      <c r="O30" s="3"/>
      <c r="P30" s="9"/>
      <c r="Q30" s="9"/>
      <c r="R30" s="9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2.75" customHeight="1" thickBot="1" x14ac:dyDescent="0.25">
      <c r="A31" s="9"/>
      <c r="B31" s="243" t="s">
        <v>51</v>
      </c>
      <c r="C31" s="244"/>
      <c r="D31" s="29" t="s">
        <v>20</v>
      </c>
      <c r="E31" s="79" t="s">
        <v>96</v>
      </c>
      <c r="F31" s="159">
        <v>0.02</v>
      </c>
      <c r="G31" s="252" t="s">
        <v>33</v>
      </c>
      <c r="H31" s="253"/>
      <c r="I31" s="234" t="s">
        <v>34</v>
      </c>
      <c r="J31" s="235"/>
      <c r="K31" s="9"/>
      <c r="L31" s="9"/>
      <c r="M31" s="9"/>
      <c r="N31" s="9"/>
      <c r="O31" s="9"/>
      <c r="P31" s="9"/>
      <c r="Q31" s="9"/>
      <c r="R31" s="9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2.75" customHeight="1" x14ac:dyDescent="0.2">
      <c r="A32" s="9"/>
      <c r="B32" s="3"/>
      <c r="C32" s="10"/>
      <c r="D32" s="13"/>
      <c r="E32" s="3"/>
      <c r="F32" s="3"/>
      <c r="G32" s="254" t="s">
        <v>25</v>
      </c>
      <c r="H32" s="255"/>
      <c r="I32" s="236"/>
      <c r="J32" s="237"/>
      <c r="K32" s="9"/>
      <c r="L32" s="9"/>
      <c r="M32" s="9"/>
      <c r="N32" s="9"/>
      <c r="O32" s="9"/>
      <c r="P32" s="9"/>
      <c r="Q32" s="9"/>
      <c r="R32" s="9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2.75" customHeight="1" thickBot="1" x14ac:dyDescent="0.25">
      <c r="A33" s="9"/>
      <c r="B33" s="3"/>
      <c r="C33" s="10"/>
      <c r="D33" s="13"/>
      <c r="E33" s="3"/>
      <c r="F33" s="3"/>
      <c r="G33" s="250" t="s">
        <v>26</v>
      </c>
      <c r="H33" s="251"/>
      <c r="I33" s="236">
        <v>0.01</v>
      </c>
      <c r="J33" s="237"/>
      <c r="K33" s="9"/>
      <c r="L33" s="9"/>
      <c r="M33" s="42"/>
      <c r="N33" s="9"/>
      <c r="O33" s="9"/>
      <c r="P33" s="9"/>
      <c r="Q33" s="9"/>
      <c r="R33" s="9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2.75" customHeight="1" thickBot="1" x14ac:dyDescent="0.25">
      <c r="A34" s="9"/>
      <c r="B34" s="201" t="s">
        <v>84</v>
      </c>
      <c r="C34" s="202"/>
      <c r="D34" s="77" t="s">
        <v>97</v>
      </c>
      <c r="E34" s="54">
        <f>F17*F30/3600</f>
        <v>14.138888888888889</v>
      </c>
      <c r="F34" s="3"/>
      <c r="G34" s="250" t="s">
        <v>27</v>
      </c>
      <c r="H34" s="251"/>
      <c r="I34" s="236">
        <v>0.05</v>
      </c>
      <c r="J34" s="237"/>
      <c r="K34" s="9"/>
      <c r="L34" s="9"/>
      <c r="M34" s="9"/>
      <c r="N34" s="9"/>
      <c r="O34" s="9"/>
      <c r="P34" s="9"/>
      <c r="Q34" s="9"/>
      <c r="R34" s="9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2.75" customHeight="1" thickBot="1" x14ac:dyDescent="0.25">
      <c r="A35" s="9"/>
      <c r="B35" s="201" t="s">
        <v>100</v>
      </c>
      <c r="C35" s="202"/>
      <c r="D35" s="77" t="s">
        <v>99</v>
      </c>
      <c r="E35" s="130">
        <f>F30*4/(3600*3.14* (F29/1000)^2)</f>
        <v>0.44232130219391363</v>
      </c>
      <c r="F35" s="3"/>
      <c r="G35" s="256"/>
      <c r="H35" s="257"/>
      <c r="I35" s="236"/>
      <c r="J35" s="237"/>
      <c r="K35" s="9"/>
      <c r="L35" s="9"/>
      <c r="M35" s="9"/>
      <c r="N35" s="9"/>
      <c r="O35" s="9"/>
      <c r="P35" s="9"/>
      <c r="Q35" s="9"/>
      <c r="R35" s="9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2.75" customHeight="1" x14ac:dyDescent="0.2">
      <c r="A36" s="9"/>
      <c r="B36" s="3"/>
      <c r="C36" s="10"/>
      <c r="D36" s="13"/>
      <c r="E36" s="3"/>
      <c r="F36" s="3"/>
      <c r="G36" s="254" t="s">
        <v>28</v>
      </c>
      <c r="H36" s="255"/>
      <c r="I36" s="236"/>
      <c r="J36" s="237"/>
      <c r="K36" s="9"/>
      <c r="L36" s="9"/>
      <c r="M36" s="9"/>
      <c r="N36" s="9"/>
      <c r="O36" s="9"/>
      <c r="P36" s="9"/>
      <c r="Q36" s="9"/>
      <c r="R36" s="9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2.75" customHeight="1" x14ac:dyDescent="0.2">
      <c r="A37" s="9"/>
      <c r="B37" s="3"/>
      <c r="C37" s="10"/>
      <c r="D37" s="13"/>
      <c r="E37" s="3"/>
      <c r="F37" s="3"/>
      <c r="G37" s="250" t="s">
        <v>29</v>
      </c>
      <c r="H37" s="251"/>
      <c r="I37" s="236">
        <v>0.04</v>
      </c>
      <c r="J37" s="237"/>
      <c r="K37" s="9"/>
      <c r="L37" s="9"/>
      <c r="M37" s="9"/>
      <c r="N37" s="9"/>
      <c r="O37" s="9"/>
      <c r="P37" s="9"/>
      <c r="Q37" s="9"/>
      <c r="R37" s="9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2.75" customHeight="1" x14ac:dyDescent="0.2">
      <c r="A38" s="9"/>
      <c r="B38" s="3"/>
      <c r="C38" s="10"/>
      <c r="D38" s="13"/>
      <c r="E38" s="3"/>
      <c r="F38" s="3"/>
      <c r="G38" s="250" t="s">
        <v>30</v>
      </c>
      <c r="H38" s="251"/>
      <c r="I38" s="236">
        <v>0.1</v>
      </c>
      <c r="J38" s="237"/>
      <c r="K38" s="9"/>
      <c r="L38" s="9"/>
      <c r="M38" s="9"/>
      <c r="N38" s="9"/>
      <c r="O38" s="9"/>
      <c r="P38" s="9"/>
      <c r="Q38" s="9"/>
      <c r="R38" s="9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2.75" customHeight="1" x14ac:dyDescent="0.2">
      <c r="A39" s="9"/>
      <c r="B39" s="3"/>
      <c r="C39" s="10"/>
      <c r="D39" s="13"/>
      <c r="E39" s="3"/>
      <c r="F39" s="3"/>
      <c r="G39" s="250" t="s">
        <v>219</v>
      </c>
      <c r="H39" s="251"/>
      <c r="I39" s="236">
        <v>0.4</v>
      </c>
      <c r="J39" s="237"/>
      <c r="K39" s="9"/>
      <c r="L39" s="9"/>
      <c r="M39" s="9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2.75" customHeight="1" thickBot="1" x14ac:dyDescent="0.25">
      <c r="A40" s="9"/>
      <c r="B40" s="3"/>
      <c r="C40" s="10"/>
      <c r="D40" s="13"/>
      <c r="E40" s="3"/>
      <c r="F40" s="3"/>
      <c r="G40" s="245" t="s">
        <v>32</v>
      </c>
      <c r="H40" s="246"/>
      <c r="I40" s="238">
        <v>0.02</v>
      </c>
      <c r="J40" s="239"/>
      <c r="K40" s="9"/>
      <c r="L40" s="9"/>
      <c r="M40" s="9"/>
      <c r="O40" s="9"/>
      <c r="P40" s="9"/>
      <c r="Q40" s="9"/>
      <c r="R40" s="9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2.75" customHeight="1" thickBot="1" x14ac:dyDescent="0.25">
      <c r="A41" s="9"/>
      <c r="B41" s="3"/>
      <c r="C41" s="10"/>
      <c r="D41" s="13"/>
      <c r="E41" s="3"/>
      <c r="F41" s="3"/>
      <c r="G41" s="240" t="s">
        <v>35</v>
      </c>
      <c r="H41" s="241"/>
      <c r="I41" s="241"/>
      <c r="J41" s="242"/>
      <c r="K41" s="9"/>
      <c r="L41" s="9"/>
      <c r="M41" s="9"/>
      <c r="N41" s="9"/>
      <c r="O41" s="9"/>
      <c r="P41" s="9"/>
      <c r="Q41" s="9"/>
      <c r="R41" s="9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9" customHeight="1" x14ac:dyDescent="0.2">
      <c r="A42" s="9"/>
      <c r="B42" s="3"/>
      <c r="C42" s="10"/>
      <c r="D42" s="13"/>
      <c r="E42" s="3"/>
      <c r="F42" s="3"/>
      <c r="G42" s="3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2.75" customHeight="1" x14ac:dyDescent="0.2">
      <c r="A43" s="9"/>
      <c r="B43" s="208" t="s">
        <v>46</v>
      </c>
      <c r="C43" s="208"/>
      <c r="D43" s="230" t="s">
        <v>19</v>
      </c>
      <c r="E43" s="231"/>
      <c r="F43" s="34">
        <f>1/(2*LOG(3.71*F29/F31))^2</f>
        <v>1.962257144440472E-2</v>
      </c>
      <c r="G43" s="10"/>
      <c r="H43" s="9"/>
      <c r="I43" s="9"/>
      <c r="J43" s="9"/>
      <c r="K43" s="9"/>
      <c r="L43" s="9"/>
      <c r="M43" s="9"/>
      <c r="N43" s="9"/>
      <c r="O43" s="96"/>
      <c r="P43" s="9"/>
      <c r="Q43" s="9"/>
      <c r="R43" s="9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2.75" customHeight="1" thickBot="1" x14ac:dyDescent="0.25">
      <c r="A44" s="9"/>
      <c r="B44" s="9"/>
      <c r="C44" s="9"/>
      <c r="D44" s="14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2.75" customHeight="1" thickBot="1" x14ac:dyDescent="0.25">
      <c r="A45" s="9"/>
      <c r="B45" s="232" t="s">
        <v>48</v>
      </c>
      <c r="C45" s="233"/>
      <c r="D45" s="35" t="s">
        <v>22</v>
      </c>
      <c r="E45" s="33" t="s">
        <v>47</v>
      </c>
      <c r="F45" s="36">
        <f>(6.25*10^5*$F$43*$F$30^2*$F$21/$F$29^5)</f>
        <v>1.9354294100438246E-3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2.75" customHeight="1" thickBot="1" x14ac:dyDescent="0.25">
      <c r="A46" s="9"/>
      <c r="B46" s="213" t="s">
        <v>49</v>
      </c>
      <c r="C46" s="214"/>
      <c r="D46" s="55" t="s">
        <v>88</v>
      </c>
      <c r="E46" s="38" t="s">
        <v>47</v>
      </c>
      <c r="F46" s="39">
        <f>(6.25*10^5*$F$43*$F$30^2*$F$21/$F$29^5)*$F$28</f>
        <v>0.38708588200876493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2.75" customHeight="1" thickBot="1" x14ac:dyDescent="0.25">
      <c r="A47" s="9"/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2.75" customHeight="1" thickBot="1" x14ac:dyDescent="0.25">
      <c r="A48" s="22">
        <v>2</v>
      </c>
      <c r="B48" s="23" t="s">
        <v>50</v>
      </c>
      <c r="C48" s="24"/>
      <c r="D48" s="25"/>
      <c r="E48" s="25"/>
      <c r="F48" s="25"/>
      <c r="G48" s="25"/>
      <c r="H48" s="25"/>
      <c r="I48" s="25"/>
      <c r="J48" s="25"/>
      <c r="K48" s="26"/>
      <c r="L48" s="9"/>
      <c r="M48" s="9"/>
      <c r="N48" s="9"/>
      <c r="O48" s="9"/>
      <c r="P48" s="9"/>
      <c r="Q48" s="9"/>
      <c r="R48" s="15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6.75" customHeight="1" thickBot="1" x14ac:dyDescent="0.25">
      <c r="A49" s="40"/>
      <c r="B49" s="41"/>
      <c r="C49" s="42"/>
      <c r="D49" s="8"/>
      <c r="E49" s="8"/>
      <c r="F49" s="8"/>
      <c r="G49" s="8"/>
      <c r="H49" s="8"/>
      <c r="I49" s="8"/>
      <c r="J49" s="9"/>
      <c r="K49" s="9"/>
      <c r="L49" s="9"/>
      <c r="M49" s="9"/>
      <c r="N49" s="9"/>
      <c r="O49" s="9"/>
      <c r="P49" s="9"/>
      <c r="Q49" s="9"/>
      <c r="R49" s="15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8" customHeight="1" thickBot="1" x14ac:dyDescent="0.25">
      <c r="A50" s="9"/>
      <c r="B50" s="224" t="s">
        <v>53</v>
      </c>
      <c r="C50" s="225"/>
      <c r="D50" s="74">
        <v>10</v>
      </c>
      <c r="E50" s="75">
        <v>15</v>
      </c>
      <c r="F50" s="75">
        <v>20</v>
      </c>
      <c r="G50" s="75">
        <v>25</v>
      </c>
      <c r="H50" s="75">
        <v>32</v>
      </c>
      <c r="I50" s="75">
        <v>40</v>
      </c>
      <c r="J50" s="76">
        <v>50</v>
      </c>
      <c r="K50" s="211" t="s">
        <v>79</v>
      </c>
      <c r="L50" s="9"/>
      <c r="M50" s="9"/>
      <c r="N50" s="9"/>
      <c r="O50" s="9"/>
      <c r="P50" s="9"/>
      <c r="Q50" s="9"/>
      <c r="R50" s="15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2.75" customHeight="1" thickBot="1" x14ac:dyDescent="0.25">
      <c r="A51" s="9"/>
      <c r="B51" s="226" t="s">
        <v>77</v>
      </c>
      <c r="C51" s="227"/>
      <c r="D51" s="218" t="s">
        <v>76</v>
      </c>
      <c r="E51" s="219"/>
      <c r="F51" s="219"/>
      <c r="G51" s="219"/>
      <c r="H51" s="219"/>
      <c r="I51" s="219"/>
      <c r="J51" s="220"/>
      <c r="K51" s="212"/>
      <c r="L51" s="9"/>
      <c r="M51" s="9"/>
      <c r="N51" s="9"/>
      <c r="O51" s="9"/>
      <c r="P51" s="9"/>
      <c r="Q51" s="9"/>
      <c r="R51" s="15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2.75" customHeight="1" x14ac:dyDescent="0.2">
      <c r="A52" s="9"/>
      <c r="B52" s="228" t="s">
        <v>54</v>
      </c>
      <c r="C52" s="229"/>
      <c r="D52" s="160"/>
      <c r="E52" s="160"/>
      <c r="F52" s="160"/>
      <c r="G52" s="160"/>
      <c r="H52" s="160"/>
      <c r="I52" s="160"/>
      <c r="J52" s="161"/>
      <c r="K52" s="49">
        <f>D52*0.1+E52*0.2+F52*0.2+G52*0.3+H52*0.5+I52*0.6+J52*0.8</f>
        <v>0</v>
      </c>
      <c r="L52" s="9"/>
      <c r="M52" s="9"/>
      <c r="N52" s="9"/>
      <c r="O52" s="9"/>
      <c r="P52" s="9"/>
      <c r="Q52" s="9"/>
      <c r="R52" s="15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2.75" customHeight="1" x14ac:dyDescent="0.2">
      <c r="A53" s="9"/>
      <c r="B53" s="194" t="s">
        <v>55</v>
      </c>
      <c r="C53" s="195"/>
      <c r="D53" s="160"/>
      <c r="E53" s="160"/>
      <c r="F53" s="160"/>
      <c r="G53" s="160"/>
      <c r="H53" s="160"/>
      <c r="I53" s="160"/>
      <c r="J53" s="161"/>
      <c r="K53" s="50">
        <f t="shared" ref="K53" si="0">D53*0.1+E53*0.2+F53*0.2+G53*0.3+H53*0.5+I53*0.6+J53*0.8</f>
        <v>0</v>
      </c>
      <c r="L53" s="9"/>
      <c r="M53" s="9"/>
      <c r="N53" s="9"/>
      <c r="O53" s="9"/>
      <c r="P53" s="9"/>
      <c r="Q53" s="9"/>
      <c r="R53" s="15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2.75" customHeight="1" x14ac:dyDescent="0.2">
      <c r="A54" s="9"/>
      <c r="B54" s="194" t="s">
        <v>56</v>
      </c>
      <c r="C54" s="195"/>
      <c r="D54" s="162"/>
      <c r="E54" s="162"/>
      <c r="F54" s="162"/>
      <c r="G54" s="162"/>
      <c r="H54" s="162"/>
      <c r="I54" s="162"/>
      <c r="J54" s="163"/>
      <c r="K54" s="50">
        <f>D54*0.3+E54*0.5+F54*0.6+G54*1+H54*1.4+I54*1.9+J54*2.5</f>
        <v>0</v>
      </c>
      <c r="L54" s="9"/>
      <c r="M54" s="9"/>
      <c r="N54" s="9"/>
      <c r="O54" s="9"/>
      <c r="P54" s="9"/>
      <c r="Q54" s="9"/>
      <c r="R54" s="15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2.75" customHeight="1" x14ac:dyDescent="0.2">
      <c r="A55" s="9"/>
      <c r="B55" s="194" t="s">
        <v>57</v>
      </c>
      <c r="C55" s="195"/>
      <c r="D55" s="162"/>
      <c r="E55" s="162"/>
      <c r="F55" s="162"/>
      <c r="G55" s="162"/>
      <c r="H55" s="162"/>
      <c r="I55" s="162"/>
      <c r="J55" s="163"/>
      <c r="K55" s="50">
        <f>D55*0.1+E55*0.2+F55*0.3+G55*0.5+H55*0.7+I55*0.9+J55*1.2</f>
        <v>0</v>
      </c>
      <c r="L55" s="9"/>
      <c r="M55" s="9"/>
      <c r="N55" s="9"/>
      <c r="O55" s="9"/>
      <c r="P55" s="9"/>
      <c r="Q55" s="9"/>
      <c r="R55" s="15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2.75" customHeight="1" x14ac:dyDescent="0.2">
      <c r="A56" s="9"/>
      <c r="B56" s="194" t="s">
        <v>58</v>
      </c>
      <c r="C56" s="195"/>
      <c r="D56" s="162"/>
      <c r="E56" s="162"/>
      <c r="F56" s="162"/>
      <c r="G56" s="162">
        <v>4</v>
      </c>
      <c r="H56" s="162"/>
      <c r="I56" s="162"/>
      <c r="J56" s="163"/>
      <c r="K56" s="50">
        <f>D56*0.1+E56*0.1+F56*0.2+G56*0.3+H56*0.4+I56*0.5+J56*0.7</f>
        <v>1.2</v>
      </c>
      <c r="L56" s="9"/>
      <c r="M56" s="9"/>
      <c r="N56" s="9"/>
      <c r="O56" s="9"/>
      <c r="P56" s="9"/>
      <c r="Q56" s="9"/>
      <c r="R56" s="15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2.75" customHeight="1" x14ac:dyDescent="0.2">
      <c r="A57" s="9"/>
      <c r="B57" s="194" t="s">
        <v>59</v>
      </c>
      <c r="C57" s="195"/>
      <c r="D57" s="162"/>
      <c r="E57" s="162"/>
      <c r="F57" s="162"/>
      <c r="G57" s="162"/>
      <c r="H57" s="162"/>
      <c r="I57" s="162"/>
      <c r="J57" s="163"/>
      <c r="K57" s="50">
        <f>D57*0.1+E57*0.1+F57*0.2+G57*0.2+H57*0.3+I57*0.4+J57*0.5</f>
        <v>0</v>
      </c>
      <c r="L57" s="9"/>
      <c r="M57" s="9"/>
      <c r="N57" s="9"/>
      <c r="O57" s="9"/>
      <c r="P57" s="9"/>
      <c r="Q57" s="9"/>
      <c r="R57" s="1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2.75" customHeight="1" x14ac:dyDescent="0.2">
      <c r="A58" s="9"/>
      <c r="B58" s="194" t="s">
        <v>60</v>
      </c>
      <c r="C58" s="195"/>
      <c r="D58" s="162"/>
      <c r="E58" s="162"/>
      <c r="F58" s="162"/>
      <c r="G58" s="162"/>
      <c r="H58" s="162"/>
      <c r="I58" s="162"/>
      <c r="J58" s="163"/>
      <c r="K58" s="50">
        <f>0</f>
        <v>0</v>
      </c>
      <c r="L58" s="9"/>
      <c r="M58" s="9"/>
      <c r="N58" s="9"/>
      <c r="O58" s="9"/>
      <c r="P58" s="9"/>
      <c r="Q58" s="9"/>
      <c r="R58" s="1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2.75" customHeight="1" x14ac:dyDescent="0.2">
      <c r="A59" s="9"/>
      <c r="B59" s="194" t="s">
        <v>61</v>
      </c>
      <c r="C59" s="195"/>
      <c r="D59" s="162"/>
      <c r="E59" s="162"/>
      <c r="F59" s="162"/>
      <c r="G59" s="162"/>
      <c r="H59" s="162"/>
      <c r="I59" s="162"/>
      <c r="J59" s="163"/>
      <c r="K59" s="50">
        <f>D59*0.3+E59*0.5+F59*0.6+G59*1+H59*1.4+I59*1.9+J59*2.5</f>
        <v>0</v>
      </c>
      <c r="L59" s="9"/>
      <c r="M59" s="9"/>
      <c r="N59" s="9"/>
      <c r="O59" s="9"/>
      <c r="P59" s="9"/>
      <c r="Q59" s="9"/>
      <c r="R59" s="1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2.75" customHeight="1" x14ac:dyDescent="0.2">
      <c r="A60" s="9"/>
      <c r="B60" s="194" t="s">
        <v>73</v>
      </c>
      <c r="C60" s="195"/>
      <c r="D60" s="162"/>
      <c r="E60" s="162"/>
      <c r="F60" s="162"/>
      <c r="G60" s="162"/>
      <c r="H60" s="162"/>
      <c r="I60" s="162"/>
      <c r="J60" s="163"/>
      <c r="K60" s="50">
        <f>D60*0.3+E60*0.5+F60*0.6+G60*1+H60*1.4+I60*1.9+J60*2.5</f>
        <v>0</v>
      </c>
      <c r="L60" s="9"/>
      <c r="M60" s="9"/>
      <c r="N60" s="9"/>
      <c r="O60" s="9"/>
      <c r="P60" s="9"/>
      <c r="Q60" s="9"/>
      <c r="R60" s="1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2.75" customHeight="1" x14ac:dyDescent="0.2">
      <c r="A61" s="9"/>
      <c r="B61" s="194" t="s">
        <v>74</v>
      </c>
      <c r="C61" s="195"/>
      <c r="D61" s="162"/>
      <c r="E61" s="162"/>
      <c r="F61" s="162"/>
      <c r="G61" s="162"/>
      <c r="H61" s="162"/>
      <c r="I61" s="162"/>
      <c r="J61" s="163"/>
      <c r="K61" s="50">
        <f>D61*0.5+E61*1+F61*1.3+G61*2+H61*2.8+I61*3.8+J61*5</f>
        <v>0</v>
      </c>
      <c r="L61" s="9"/>
      <c r="M61" s="9"/>
      <c r="N61" s="9"/>
      <c r="O61" s="9"/>
      <c r="P61" s="9"/>
      <c r="Q61" s="9"/>
      <c r="R61" s="15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2.75" customHeight="1" x14ac:dyDescent="0.2">
      <c r="A62" s="9"/>
      <c r="B62" s="194" t="s">
        <v>62</v>
      </c>
      <c r="C62" s="195"/>
      <c r="D62" s="150"/>
      <c r="E62" s="162"/>
      <c r="F62" s="162"/>
      <c r="G62" s="162"/>
      <c r="H62" s="162"/>
      <c r="I62" s="162"/>
      <c r="J62" s="163"/>
      <c r="K62" s="50">
        <f>0</f>
        <v>0</v>
      </c>
      <c r="L62" s="9"/>
      <c r="M62" s="9"/>
      <c r="N62" s="9"/>
      <c r="O62" s="9"/>
      <c r="P62" s="9"/>
      <c r="Q62" s="9"/>
      <c r="R62" s="15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2.75" customHeight="1" x14ac:dyDescent="0.2">
      <c r="A63" s="9"/>
      <c r="B63" s="194" t="s">
        <v>63</v>
      </c>
      <c r="C63" s="195"/>
      <c r="D63" s="150"/>
      <c r="E63" s="162"/>
      <c r="F63" s="162"/>
      <c r="G63" s="162"/>
      <c r="H63" s="162"/>
      <c r="I63" s="162"/>
      <c r="J63" s="163"/>
      <c r="K63" s="50">
        <f>D63*0.2+E63*0.4+F63*0.5+G63*0.9+H63*1.2+I63*1.9+J63*2.2</f>
        <v>0</v>
      </c>
      <c r="L63" s="9"/>
      <c r="M63" s="9"/>
      <c r="N63" s="9"/>
      <c r="O63" s="9"/>
      <c r="P63" s="9"/>
      <c r="Q63" s="9"/>
      <c r="R63" s="15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2.75" customHeight="1" x14ac:dyDescent="0.2">
      <c r="A64" s="9"/>
      <c r="B64" s="194" t="s">
        <v>64</v>
      </c>
      <c r="C64" s="195"/>
      <c r="D64" s="162"/>
      <c r="E64" s="162"/>
      <c r="F64" s="162"/>
      <c r="G64" s="162"/>
      <c r="H64" s="162"/>
      <c r="I64" s="162"/>
      <c r="J64" s="163"/>
      <c r="K64" s="50">
        <f>D64*0.2+E64*0.4+F64*0.5+G64*0.9+H64*1.2+I64*1.7+J64*2.2</f>
        <v>0</v>
      </c>
      <c r="L64" s="9"/>
      <c r="M64" s="9"/>
      <c r="N64" s="9"/>
      <c r="O64" s="9"/>
      <c r="P64" s="9"/>
      <c r="Q64" s="9"/>
      <c r="R64" s="9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2.75" customHeight="1" x14ac:dyDescent="0.2">
      <c r="A65" s="9"/>
      <c r="B65" s="196" t="s">
        <v>65</v>
      </c>
      <c r="C65" s="197"/>
      <c r="D65" s="162"/>
      <c r="E65" s="162"/>
      <c r="F65" s="162"/>
      <c r="G65" s="162"/>
      <c r="H65" s="162"/>
      <c r="I65" s="162"/>
      <c r="J65" s="163"/>
      <c r="K65" s="50">
        <f>D65*0.3+E65*0.5+F65*0.6+G65*1+H65*1.4+I65*1.7+J65*2.5</f>
        <v>0</v>
      </c>
      <c r="L65" s="9"/>
      <c r="M65" s="9"/>
      <c r="N65" s="9"/>
      <c r="O65" s="9"/>
      <c r="P65" s="9"/>
      <c r="Q65" s="9"/>
      <c r="R65" s="9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2.75" customHeight="1" x14ac:dyDescent="0.2">
      <c r="A66" s="9"/>
      <c r="B66" s="194" t="s">
        <v>66</v>
      </c>
      <c r="C66" s="195"/>
      <c r="D66" s="162"/>
      <c r="E66" s="162"/>
      <c r="F66" s="162"/>
      <c r="G66" s="162"/>
      <c r="H66" s="162"/>
      <c r="I66" s="162"/>
      <c r="J66" s="163"/>
      <c r="K66" s="50">
        <f>0</f>
        <v>0</v>
      </c>
      <c r="L66" s="9"/>
      <c r="M66" s="9"/>
      <c r="N66" s="9"/>
      <c r="O66" s="9"/>
      <c r="P66" s="9"/>
      <c r="Q66" s="9"/>
      <c r="R66" s="9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2.75" customHeight="1" x14ac:dyDescent="0.2">
      <c r="A67" s="9"/>
      <c r="B67" s="194" t="s">
        <v>67</v>
      </c>
      <c r="C67" s="195"/>
      <c r="D67" s="162"/>
      <c r="E67" s="162"/>
      <c r="F67" s="162"/>
      <c r="G67" s="162"/>
      <c r="H67" s="162"/>
      <c r="I67" s="162"/>
      <c r="J67" s="163"/>
      <c r="K67" s="50">
        <f>D67*0.3+E67*0.5+F67*0.6+G67*1+H67*1.4+I67*1.9+J67*2.5</f>
        <v>0</v>
      </c>
      <c r="L67" s="9"/>
      <c r="M67" s="9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2.75" customHeight="1" x14ac:dyDescent="0.2">
      <c r="A68" s="9"/>
      <c r="B68" s="194" t="s">
        <v>68</v>
      </c>
      <c r="C68" s="195"/>
      <c r="D68" s="162"/>
      <c r="E68" s="162"/>
      <c r="F68" s="162"/>
      <c r="G68" s="162"/>
      <c r="H68" s="162"/>
      <c r="I68" s="162"/>
      <c r="J68" s="163"/>
      <c r="K68" s="50">
        <f>0</f>
        <v>0</v>
      </c>
      <c r="L68" s="9"/>
      <c r="M68" s="9"/>
      <c r="N68" s="9"/>
      <c r="O68" s="9"/>
      <c r="P68" s="9"/>
      <c r="Q68" s="9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2.75" customHeight="1" x14ac:dyDescent="0.2">
      <c r="A69" s="9"/>
      <c r="B69" s="194" t="s">
        <v>69</v>
      </c>
      <c r="C69" s="195"/>
      <c r="D69" s="162"/>
      <c r="E69" s="162"/>
      <c r="F69" s="162"/>
      <c r="G69" s="162"/>
      <c r="H69" s="162"/>
      <c r="I69" s="162"/>
      <c r="J69" s="163"/>
      <c r="K69" s="50">
        <f>D69*0.3+E69*0.5+F69*0.6+G69*1+H69*1.4+I69*1.9+J69*2.5</f>
        <v>0</v>
      </c>
      <c r="L69" s="9"/>
      <c r="M69" s="9"/>
      <c r="N69" s="9"/>
      <c r="O69" s="9"/>
      <c r="P69" s="9"/>
      <c r="Q69" s="9"/>
      <c r="R69" s="9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2.75" customHeight="1" x14ac:dyDescent="0.2">
      <c r="A70" s="9"/>
      <c r="B70" s="196" t="s">
        <v>70</v>
      </c>
      <c r="C70" s="197"/>
      <c r="D70" s="162"/>
      <c r="E70" s="164"/>
      <c r="F70" s="162"/>
      <c r="G70" s="162">
        <v>2</v>
      </c>
      <c r="H70" s="162"/>
      <c r="I70" s="162"/>
      <c r="J70" s="163"/>
      <c r="K70" s="50">
        <f>D70*0.4+E70*0.6+F70*0.8+G70*1.3+H70*1.9+I70*2.6+J70*3.4</f>
        <v>2.6</v>
      </c>
      <c r="L70" s="9"/>
      <c r="M70" s="9"/>
      <c r="N70" s="9"/>
      <c r="O70" s="9"/>
      <c r="P70" s="9"/>
      <c r="Q70" s="9"/>
      <c r="R70" s="9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2.75" customHeight="1" x14ac:dyDescent="0.2">
      <c r="A71" s="9"/>
      <c r="B71" s="196" t="s">
        <v>71</v>
      </c>
      <c r="C71" s="197"/>
      <c r="D71" s="162"/>
      <c r="E71" s="162"/>
      <c r="F71" s="162"/>
      <c r="G71" s="162"/>
      <c r="H71" s="162"/>
      <c r="I71" s="162"/>
      <c r="J71" s="163"/>
      <c r="K71" s="50">
        <f>D71*0.9+E71*1.6+F71*2.1+G71*3.4+H71*4.7+I71*6.5+J71*8.4</f>
        <v>0</v>
      </c>
      <c r="L71" s="9"/>
      <c r="M71" s="9"/>
      <c r="N71" s="9"/>
      <c r="O71" s="9"/>
      <c r="P71" s="9"/>
      <c r="Q71" s="9"/>
      <c r="R71" s="9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2.75" customHeight="1" thickBot="1" x14ac:dyDescent="0.25">
      <c r="A72" s="9"/>
      <c r="B72" s="196" t="s">
        <v>72</v>
      </c>
      <c r="C72" s="197"/>
      <c r="D72" s="162"/>
      <c r="E72" s="162"/>
      <c r="F72" s="162"/>
      <c r="G72" s="162">
        <v>1</v>
      </c>
      <c r="H72" s="165"/>
      <c r="I72" s="165"/>
      <c r="J72" s="166"/>
      <c r="K72" s="51">
        <f>D72*0.1+E72*0.2+F72*0.2+G72*0.3+H72*0.5+I72*0.6+J72*0.8</f>
        <v>0.3</v>
      </c>
      <c r="L72" s="10"/>
      <c r="M72" s="9"/>
      <c r="N72" s="9"/>
      <c r="O72" s="9"/>
      <c r="P72" s="9"/>
      <c r="Q72" s="9"/>
      <c r="R72" s="9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2.75" customHeight="1" thickBot="1" x14ac:dyDescent="0.25">
      <c r="A73" s="9"/>
      <c r="B73" s="9"/>
      <c r="C73" s="9"/>
      <c r="D73" s="9"/>
      <c r="E73" s="9"/>
      <c r="F73" s="9"/>
      <c r="G73" s="9"/>
      <c r="H73" s="209" t="s">
        <v>75</v>
      </c>
      <c r="I73" s="210"/>
      <c r="J73" s="48" t="s">
        <v>78</v>
      </c>
      <c r="K73" s="52">
        <f>SUM(K52:K72)</f>
        <v>4.0999999999999996</v>
      </c>
      <c r="L73" s="10"/>
      <c r="M73" s="9"/>
      <c r="N73" s="9"/>
      <c r="O73" s="9"/>
      <c r="P73" s="9"/>
      <c r="Q73" s="9"/>
      <c r="R73" s="9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2.75" customHeight="1" thickBot="1" x14ac:dyDescent="0.25">
      <c r="A74" s="9"/>
      <c r="B74" s="9"/>
      <c r="C74" s="9"/>
      <c r="D74" s="9"/>
      <c r="E74" s="9"/>
      <c r="F74" s="9"/>
      <c r="G74" s="9"/>
      <c r="H74" s="31"/>
      <c r="I74" s="31"/>
      <c r="J74" s="7"/>
      <c r="K74" s="42"/>
      <c r="L74" s="10"/>
      <c r="M74" s="9"/>
      <c r="N74" s="9"/>
      <c r="O74" s="9"/>
      <c r="P74" s="9"/>
      <c r="Q74" s="9"/>
      <c r="R74" s="9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2.75" customHeight="1" thickBot="1" x14ac:dyDescent="0.25">
      <c r="A75" s="9"/>
      <c r="B75" s="213" t="s">
        <v>80</v>
      </c>
      <c r="C75" s="214"/>
      <c r="D75" s="37" t="s">
        <v>94</v>
      </c>
      <c r="E75" s="38" t="s">
        <v>47</v>
      </c>
      <c r="F75" s="39">
        <f>(6.25*10^5*$F$43*$F$30^2*$F$21/$F$29^5)*$K$73</f>
        <v>7.9352605811796803E-3</v>
      </c>
      <c r="G75" s="9"/>
      <c r="H75" s="9"/>
      <c r="I75" s="9"/>
      <c r="J75" s="9"/>
      <c r="K75" s="9"/>
      <c r="L75" s="10"/>
      <c r="M75" s="9"/>
      <c r="N75" s="9"/>
      <c r="O75" s="9"/>
      <c r="P75" s="9"/>
      <c r="Q75" s="9"/>
      <c r="R75" s="9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2.75" customHeight="1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10"/>
      <c r="M76" s="9"/>
      <c r="N76" s="9"/>
      <c r="O76" s="9"/>
      <c r="P76" s="9"/>
      <c r="Q76" s="9"/>
      <c r="R76" s="9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2.75" customHeight="1" thickBo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2.75" customHeight="1" thickBot="1" x14ac:dyDescent="0.25">
      <c r="A78" s="22">
        <v>3</v>
      </c>
      <c r="B78" s="23" t="s">
        <v>52</v>
      </c>
      <c r="C78" s="24"/>
      <c r="D78" s="25"/>
      <c r="E78" s="25"/>
      <c r="F78" s="25"/>
      <c r="G78" s="25"/>
      <c r="H78" s="25"/>
      <c r="I78" s="25"/>
      <c r="J78" s="25"/>
      <c r="K78" s="26"/>
      <c r="L78" s="9"/>
      <c r="M78" s="9"/>
      <c r="N78" s="9"/>
      <c r="O78" s="9"/>
      <c r="P78" s="9"/>
      <c r="Q78" s="9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2.75" customHeight="1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2.75" customHeight="1" thickBo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3.5" customHeight="1" thickBot="1" x14ac:dyDescent="0.25">
      <c r="A81" s="9"/>
      <c r="B81" s="203" t="s">
        <v>82</v>
      </c>
      <c r="C81" s="204"/>
      <c r="D81" s="205"/>
      <c r="E81" s="48" t="s">
        <v>78</v>
      </c>
      <c r="F81" s="167">
        <v>12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2.75" customHeight="1" thickBot="1" x14ac:dyDescent="0.25">
      <c r="A82" s="10"/>
      <c r="B82" s="10"/>
      <c r="C82" s="10"/>
      <c r="D82" s="14"/>
      <c r="E82" s="10"/>
      <c r="F82" s="10"/>
      <c r="G82" s="10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2.75" customHeight="1" thickBot="1" x14ac:dyDescent="0.25">
      <c r="A83" s="10"/>
      <c r="B83" s="206" t="s">
        <v>83</v>
      </c>
      <c r="C83" s="207"/>
      <c r="D83" s="53" t="s">
        <v>95</v>
      </c>
      <c r="E83" s="38" t="s">
        <v>47</v>
      </c>
      <c r="F83" s="39">
        <f>IF(C9&lt;&gt;0,(0.13)*F81,-0.04*F81)</f>
        <v>1.56</v>
      </c>
      <c r="G83" s="10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2.75" customHeight="1" x14ac:dyDescent="0.2">
      <c r="A84" s="10"/>
      <c r="B84" s="10"/>
      <c r="C84" s="10"/>
      <c r="D84" s="16"/>
      <c r="E84" s="16"/>
      <c r="F84" s="16"/>
      <c r="G84" s="10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2.75" customHeight="1" x14ac:dyDescent="0.2">
      <c r="A85" s="10"/>
      <c r="B85" s="10"/>
      <c r="C85" s="10"/>
      <c r="D85" s="16"/>
      <c r="E85" s="16"/>
      <c r="F85" s="16"/>
      <c r="G85" s="10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2.75" customHeight="1" thickBot="1" x14ac:dyDescent="0.25">
      <c r="A86" s="10"/>
      <c r="B86" s="10"/>
      <c r="C86" s="10"/>
      <c r="D86" s="16"/>
      <c r="E86" s="16"/>
      <c r="F86" s="16"/>
      <c r="G86" s="10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2.75" customHeight="1" thickBot="1" x14ac:dyDescent="0.25">
      <c r="A87" s="22"/>
      <c r="B87" s="23" t="s">
        <v>85</v>
      </c>
      <c r="C87" s="24"/>
      <c r="D87" s="25"/>
      <c r="E87" s="25"/>
      <c r="F87" s="25"/>
      <c r="G87" s="25"/>
      <c r="H87" s="25"/>
      <c r="I87" s="25"/>
      <c r="J87" s="25"/>
      <c r="K87" s="26"/>
      <c r="L87" s="9"/>
      <c r="M87" s="9"/>
      <c r="N87" s="9"/>
      <c r="O87" s="9"/>
      <c r="P87" s="9"/>
      <c r="Q87" s="9"/>
      <c r="R87" s="9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2.75" customHeight="1" x14ac:dyDescent="0.2">
      <c r="A88" s="9"/>
      <c r="B88" s="10"/>
      <c r="C88" s="10"/>
      <c r="D88" s="16"/>
      <c r="E88" s="16"/>
      <c r="F88" s="16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2.75" customHeight="1" thickBot="1" x14ac:dyDescent="0.25">
      <c r="A89" s="9"/>
      <c r="B89" s="1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2.75" customHeight="1" x14ac:dyDescent="0.2">
      <c r="A90" s="189"/>
      <c r="B90" s="57" t="s">
        <v>86</v>
      </c>
      <c r="C90" s="192" t="s">
        <v>87</v>
      </c>
      <c r="D90" s="193"/>
      <c r="E90" s="65" t="s">
        <v>88</v>
      </c>
      <c r="F90" s="58" t="s">
        <v>89</v>
      </c>
      <c r="G90" s="66" t="s">
        <v>90</v>
      </c>
      <c r="H90" s="68" t="s">
        <v>91</v>
      </c>
      <c r="I90" s="71" t="s">
        <v>92</v>
      </c>
      <c r="J90" s="59" t="s">
        <v>93</v>
      </c>
      <c r="K90" s="9"/>
      <c r="L90" s="9"/>
      <c r="M90" s="9"/>
      <c r="N90" s="9"/>
      <c r="O90" s="9"/>
      <c r="P90" s="9"/>
      <c r="Q90" s="9"/>
      <c r="R90" s="9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2.75" customHeight="1" x14ac:dyDescent="0.2">
      <c r="A91" s="189"/>
      <c r="B91" s="60" t="s">
        <v>97</v>
      </c>
      <c r="C91" s="187" t="s">
        <v>96</v>
      </c>
      <c r="D91" s="188"/>
      <c r="E91" s="60" t="s">
        <v>47</v>
      </c>
      <c r="F91" s="56" t="s">
        <v>47</v>
      </c>
      <c r="G91" s="61" t="s">
        <v>47</v>
      </c>
      <c r="H91" s="69" t="s">
        <v>47</v>
      </c>
      <c r="I91" s="60" t="s">
        <v>47</v>
      </c>
      <c r="J91" s="61" t="s">
        <v>47</v>
      </c>
      <c r="K91" s="9"/>
      <c r="L91" s="9"/>
      <c r="M91" s="9"/>
      <c r="N91" s="9"/>
      <c r="O91" s="9"/>
      <c r="P91" s="9"/>
      <c r="Q91" s="9"/>
      <c r="R91" s="9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24.75" customHeight="1" thickBot="1" x14ac:dyDescent="0.25">
      <c r="A92" s="9"/>
      <c r="B92" s="62">
        <f>E34</f>
        <v>14.138888888888889</v>
      </c>
      <c r="C92" s="190">
        <f>F29</f>
        <v>20</v>
      </c>
      <c r="D92" s="191"/>
      <c r="E92" s="67">
        <f>F46</f>
        <v>0.38708588200876493</v>
      </c>
      <c r="F92" s="63">
        <f>F75</f>
        <v>7.9352605811796803E-3</v>
      </c>
      <c r="G92" s="64">
        <f>F83</f>
        <v>1.56</v>
      </c>
      <c r="H92" s="70">
        <f>SUM(E92:G92)</f>
        <v>1.9550211425899446</v>
      </c>
      <c r="I92" s="72">
        <f>F12</f>
        <v>30</v>
      </c>
      <c r="J92" s="64">
        <f>I92-H92</f>
        <v>28.044978857410054</v>
      </c>
      <c r="K92" s="9"/>
      <c r="L92" s="9"/>
      <c r="M92" s="9"/>
      <c r="N92" s="9"/>
      <c r="O92" s="9"/>
      <c r="P92" s="9"/>
      <c r="Q92" s="9"/>
      <c r="R92" s="9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2.75" customHeight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27.75" customHeight="1" x14ac:dyDescent="0.2">
      <c r="A94" s="9"/>
      <c r="B94" s="186" t="str">
        <f>IF(H92&gt;F23,"Tryktab for stort. Vælg størrer rørdiameter","Tryktab mindre end tilladeligt tryktab. Rørdiameter ok")</f>
        <v>Tryktab mindre end tilladeligt tryktab. Rørdiameter ok</v>
      </c>
      <c r="C94" s="186"/>
      <c r="D94" s="186"/>
      <c r="E94" s="186"/>
      <c r="F94" s="186"/>
      <c r="G94" s="186"/>
      <c r="H94" s="186"/>
      <c r="I94" s="186"/>
      <c r="J94" s="186"/>
      <c r="K94" s="9"/>
      <c r="L94" s="9"/>
      <c r="M94" s="9"/>
      <c r="N94" s="9"/>
      <c r="O94" s="9"/>
      <c r="P94" s="9"/>
      <c r="Q94" s="9"/>
      <c r="R94" s="9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9"/>
      <c r="N95" s="9"/>
      <c r="O95" s="9"/>
      <c r="P95" s="9"/>
      <c r="Q95" s="9"/>
      <c r="R95" s="9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9"/>
      <c r="N96" s="9"/>
      <c r="O96" s="9"/>
      <c r="P96" s="9"/>
      <c r="Q96" s="9"/>
      <c r="R96" s="9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9"/>
      <c r="N97" s="9"/>
      <c r="O97" s="9"/>
      <c r="P97" s="9"/>
      <c r="Q97" s="9"/>
      <c r="R97" s="9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9"/>
      <c r="N98" s="9"/>
      <c r="O98" s="9"/>
      <c r="P98" s="9"/>
      <c r="Q98" s="9"/>
      <c r="R98" s="9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9"/>
      <c r="N99" s="9"/>
      <c r="O99" s="9"/>
      <c r="P99" s="9"/>
      <c r="Q99" s="9"/>
      <c r="R99" s="9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t="12.75" customHeight="1" x14ac:dyDescent="0.2"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7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12.7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2.7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t="12.7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</sheetData>
  <sheetProtection password="CC42" sheet="1" objects="1" scenarios="1"/>
  <mergeCells count="77">
    <mergeCell ref="A3:K3"/>
    <mergeCell ref="G38:H38"/>
    <mergeCell ref="G39:H39"/>
    <mergeCell ref="G31:H31"/>
    <mergeCell ref="G32:H32"/>
    <mergeCell ref="G36:H36"/>
    <mergeCell ref="G35:H35"/>
    <mergeCell ref="G33:H33"/>
    <mergeCell ref="G34:H34"/>
    <mergeCell ref="G37:H37"/>
    <mergeCell ref="B13:C13"/>
    <mergeCell ref="B28:C28"/>
    <mergeCell ref="B29:C29"/>
    <mergeCell ref="B30:C30"/>
    <mergeCell ref="B17:C17"/>
    <mergeCell ref="B18:C18"/>
    <mergeCell ref="D43:E43"/>
    <mergeCell ref="B46:C46"/>
    <mergeCell ref="B45:C45"/>
    <mergeCell ref="I31:J31"/>
    <mergeCell ref="I32:J32"/>
    <mergeCell ref="I33:J33"/>
    <mergeCell ref="I34:J34"/>
    <mergeCell ref="I35:J35"/>
    <mergeCell ref="I36:J36"/>
    <mergeCell ref="I37:J37"/>
    <mergeCell ref="I39:J39"/>
    <mergeCell ref="I40:J40"/>
    <mergeCell ref="I38:J38"/>
    <mergeCell ref="G41:J41"/>
    <mergeCell ref="B31:C31"/>
    <mergeCell ref="G40:H40"/>
    <mergeCell ref="B69:C69"/>
    <mergeCell ref="B50:C50"/>
    <mergeCell ref="B51:C51"/>
    <mergeCell ref="B52:C52"/>
    <mergeCell ref="B53:C53"/>
    <mergeCell ref="B61:C61"/>
    <mergeCell ref="B60:C60"/>
    <mergeCell ref="B19:C19"/>
    <mergeCell ref="B20:C20"/>
    <mergeCell ref="B21:C21"/>
    <mergeCell ref="B68:C68"/>
    <mergeCell ref="B43:C43"/>
    <mergeCell ref="B23:C23"/>
    <mergeCell ref="A1:K1"/>
    <mergeCell ref="B35:C35"/>
    <mergeCell ref="B81:D81"/>
    <mergeCell ref="B83:C83"/>
    <mergeCell ref="B12:C12"/>
    <mergeCell ref="B34:C34"/>
    <mergeCell ref="H73:I73"/>
    <mergeCell ref="K50:K51"/>
    <mergeCell ref="B75:C75"/>
    <mergeCell ref="B27:F27"/>
    <mergeCell ref="B71:C71"/>
    <mergeCell ref="B72:C72"/>
    <mergeCell ref="D51:J51"/>
    <mergeCell ref="B66:C66"/>
    <mergeCell ref="B67:C67"/>
    <mergeCell ref="B54:C54"/>
    <mergeCell ref="A4:K4"/>
    <mergeCell ref="B94:J94"/>
    <mergeCell ref="C91:D91"/>
    <mergeCell ref="A90:A91"/>
    <mergeCell ref="C92:D92"/>
    <mergeCell ref="C90:D90"/>
    <mergeCell ref="B55:C55"/>
    <mergeCell ref="B56:C56"/>
    <mergeCell ref="B57:C57"/>
    <mergeCell ref="B58:C58"/>
    <mergeCell ref="B70:C70"/>
    <mergeCell ref="B59:C59"/>
    <mergeCell ref="B62:C62"/>
    <mergeCell ref="B63:C63"/>
    <mergeCell ref="B64:C64"/>
    <mergeCell ref="B65:C65"/>
  </mergeCells>
  <conditionalFormatting sqref="B94:J94">
    <cfRule type="expression" dxfId="49" priority="1">
      <formula>$H$92&lt;$F$23</formula>
    </cfRule>
  </conditionalFormatting>
  <pageMargins left="0.75" right="0.75" top="1" bottom="1" header="0.5" footer="0.5"/>
  <pageSetup scale="64" fitToHeight="0" orientation="portrait" r:id="rId1"/>
  <headerFooter>
    <oddFooter>&amp;L&amp;"Helvetica,Regular"&amp;12&amp;K000000	&amp;P</oddFooter>
  </headerFooter>
  <ignoredErrors>
    <ignoredError sqref="K67:K68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30"/>
  <sheetViews>
    <sheetView topLeftCell="A52" workbookViewId="0">
      <selection activeCell="D40" sqref="D40"/>
    </sheetView>
  </sheetViews>
  <sheetFormatPr defaultColWidth="6.59765625" defaultRowHeight="12.75" customHeight="1" x14ac:dyDescent="0.2"/>
  <cols>
    <col min="1" max="1" width="8.296875" style="1" customWidth="1"/>
    <col min="2" max="2" width="17.09765625" style="1" customWidth="1"/>
    <col min="3" max="3" width="5.19921875" style="1" customWidth="1"/>
    <col min="4" max="10" width="8.19921875" style="1" customWidth="1"/>
    <col min="11" max="11" width="13.5" style="1" customWidth="1"/>
    <col min="12" max="12" width="6.3984375" style="1" customWidth="1"/>
    <col min="13" max="13" width="6.8984375" style="1" customWidth="1"/>
    <col min="14" max="14" width="6.3984375" style="1" customWidth="1"/>
    <col min="15" max="15" width="6.796875" style="1" customWidth="1"/>
    <col min="16" max="16" width="6.8984375" style="1" customWidth="1"/>
    <col min="17" max="17" width="6.59765625" style="1" customWidth="1"/>
    <col min="18" max="18" width="6" style="1" customWidth="1"/>
    <col min="19" max="19" width="6.59765625" style="1" customWidth="1"/>
    <col min="20" max="20" width="5.5" style="1" customWidth="1"/>
    <col min="21" max="24" width="6.59765625" style="1" customWidth="1"/>
    <col min="25" max="25" width="5.8984375" style="1" customWidth="1"/>
    <col min="26" max="256" width="6.59765625" style="1" customWidth="1"/>
  </cols>
  <sheetData>
    <row r="1" spans="1:256" ht="31.5" customHeight="1" thickBot="1" x14ac:dyDescent="0.25">
      <c r="A1" s="198" t="s">
        <v>98</v>
      </c>
      <c r="B1" s="199"/>
      <c r="C1" s="199"/>
      <c r="D1" s="199"/>
      <c r="E1" s="199"/>
      <c r="F1" s="199"/>
      <c r="G1" s="199"/>
      <c r="H1" s="199"/>
      <c r="I1" s="199"/>
      <c r="J1" s="199"/>
      <c r="K1" s="200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4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134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6.25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4" customHeight="1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5.25" customHeight="1" thickBot="1" x14ac:dyDescent="0.25">
      <c r="A7" s="32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2.75" customHeight="1" thickBot="1" x14ac:dyDescent="0.25">
      <c r="B8" s="43" t="s">
        <v>39</v>
      </c>
      <c r="C8" s="44"/>
      <c r="D8" s="44"/>
      <c r="E8" s="4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2.75" customHeight="1" x14ac:dyDescent="0.2">
      <c r="B9" s="5" t="s">
        <v>37</v>
      </c>
      <c r="C9" s="149" t="s">
        <v>42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2.75" customHeight="1" x14ac:dyDescent="0.2">
      <c r="B10" s="2" t="s">
        <v>38</v>
      </c>
      <c r="C10" s="15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2.75" customHeight="1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2.75" customHeight="1" x14ac:dyDescent="0.2">
      <c r="B12" s="208" t="s">
        <v>23</v>
      </c>
      <c r="C12" s="208"/>
      <c r="D12" s="4" t="s">
        <v>135</v>
      </c>
      <c r="E12" s="4" t="s">
        <v>47</v>
      </c>
      <c r="F12" s="153">
        <v>30</v>
      </c>
      <c r="I12" s="8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75" customHeight="1" x14ac:dyDescent="0.2">
      <c r="B13" s="258" t="s">
        <v>8</v>
      </c>
      <c r="C13" s="259"/>
      <c r="D13" s="6" t="s">
        <v>9</v>
      </c>
      <c r="E13" s="6" t="s">
        <v>10</v>
      </c>
      <c r="F13" s="152">
        <v>15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2.75" customHeight="1" x14ac:dyDescent="0.2">
      <c r="B14" s="3"/>
      <c r="C14" s="3"/>
      <c r="D14" s="7"/>
      <c r="E14" s="7"/>
      <c r="F14" s="8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2.75" customHeight="1" x14ac:dyDescent="0.2">
      <c r="B15" s="12" t="s">
        <v>44</v>
      </c>
      <c r="C15" s="3"/>
      <c r="D15" s="7"/>
      <c r="E15" s="7"/>
      <c r="F15" s="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4.5" customHeight="1" x14ac:dyDescent="0.2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2.75" customHeight="1" x14ac:dyDescent="0.2">
      <c r="A17" s="3"/>
      <c r="B17" s="221" t="s">
        <v>0</v>
      </c>
      <c r="C17" s="222"/>
      <c r="D17" s="4" t="s">
        <v>1</v>
      </c>
      <c r="E17" s="4" t="s">
        <v>2</v>
      </c>
      <c r="F17" s="47">
        <f>IF(C9 &lt;&gt;0,101800,43700)</f>
        <v>101800</v>
      </c>
      <c r="G17" s="18"/>
      <c r="H17" s="1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2.75" customHeight="1" x14ac:dyDescent="0.2">
      <c r="A18" s="3"/>
      <c r="B18" s="221" t="s">
        <v>40</v>
      </c>
      <c r="C18" s="222"/>
      <c r="D18" s="4" t="s">
        <v>41</v>
      </c>
      <c r="E18" s="4" t="s">
        <v>2</v>
      </c>
      <c r="F18" s="47">
        <f>IF(C9&lt;&gt;0,93600,39500)</f>
        <v>93600</v>
      </c>
      <c r="G18" s="18"/>
      <c r="H18" s="1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2.75" customHeight="1" x14ac:dyDescent="0.2">
      <c r="A19" s="3"/>
      <c r="B19" s="221" t="s">
        <v>3</v>
      </c>
      <c r="C19" s="222"/>
      <c r="D19" s="4" t="s">
        <v>4</v>
      </c>
      <c r="E19" s="4" t="s">
        <v>5</v>
      </c>
      <c r="F19" s="46">
        <f>IF(C9&lt;&gt;0,1.555,0.6369)</f>
        <v>1.5549999999999999</v>
      </c>
      <c r="G19" s="20"/>
      <c r="H19" s="2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2.75" customHeight="1" x14ac:dyDescent="0.2">
      <c r="A20" s="3"/>
      <c r="B20" s="221" t="s">
        <v>6</v>
      </c>
      <c r="C20" s="222"/>
      <c r="D20" s="11" t="s">
        <v>21</v>
      </c>
      <c r="E20" s="4" t="s">
        <v>7</v>
      </c>
      <c r="F20" s="46">
        <f>IF(C9&lt;&gt;0,0.8,1.06)</f>
        <v>0.8</v>
      </c>
      <c r="G20" s="18"/>
      <c r="H20" s="1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2.75" customHeight="1" x14ac:dyDescent="0.2">
      <c r="A21" s="9"/>
      <c r="B21" s="221" t="s">
        <v>45</v>
      </c>
      <c r="C21" s="222"/>
      <c r="D21" s="17" t="s">
        <v>18</v>
      </c>
      <c r="E21" s="4" t="s">
        <v>43</v>
      </c>
      <c r="F21" s="46">
        <f>IF(C9&lt;&gt;0,2.02,0.82)</f>
        <v>2.02</v>
      </c>
      <c r="G21" s="19"/>
      <c r="H21" s="19"/>
      <c r="I21" s="3"/>
      <c r="J21" s="9"/>
      <c r="K21" s="9"/>
      <c r="L21" s="9"/>
      <c r="M21" s="9"/>
      <c r="N21" s="9"/>
      <c r="O21" s="9"/>
      <c r="P21" s="9"/>
      <c r="Q21" s="9"/>
      <c r="R21" s="9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2.75" customHeight="1" x14ac:dyDescent="0.2">
      <c r="A22" s="9"/>
      <c r="B22" s="9"/>
      <c r="C22" s="9"/>
      <c r="D22" s="3"/>
      <c r="E22" s="3"/>
      <c r="F22" s="3"/>
      <c r="G22" s="3"/>
      <c r="H22" s="3"/>
      <c r="I22" s="3"/>
      <c r="J22" s="9"/>
      <c r="K22" s="9"/>
      <c r="L22" s="9"/>
      <c r="M22" s="9"/>
      <c r="N22" s="9"/>
      <c r="O22" s="9"/>
      <c r="P22" s="9"/>
      <c r="Q22" s="9"/>
      <c r="R22" s="9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2.75" customHeight="1" x14ac:dyDescent="0.2">
      <c r="A23" s="9"/>
      <c r="B23" s="223" t="s">
        <v>174</v>
      </c>
      <c r="C23" s="223"/>
      <c r="D23" s="119" t="s">
        <v>175</v>
      </c>
      <c r="E23" s="121" t="s">
        <v>47</v>
      </c>
      <c r="F23" s="122">
        <v>2</v>
      </c>
      <c r="G23" s="3"/>
      <c r="H23" s="3"/>
      <c r="I23" s="3"/>
      <c r="J23" s="9"/>
      <c r="K23" s="9"/>
      <c r="L23" s="9"/>
      <c r="M23" s="9"/>
      <c r="N23" s="9"/>
      <c r="O23" s="9"/>
      <c r="P23" s="9"/>
      <c r="Q23" s="9"/>
      <c r="R23" s="9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2.75" customHeight="1" thickBot="1" x14ac:dyDescent="0.25">
      <c r="A24" s="9"/>
      <c r="B24" s="9"/>
      <c r="C24" s="9"/>
      <c r="D24" s="3"/>
      <c r="E24" s="3"/>
      <c r="F24" s="3"/>
      <c r="G24" s="3"/>
      <c r="H24" s="3"/>
      <c r="I24" s="3"/>
      <c r="J24" s="9"/>
      <c r="K24" s="9"/>
      <c r="L24" s="9"/>
      <c r="M24" s="9"/>
      <c r="N24" s="9"/>
      <c r="O24" s="9"/>
      <c r="P24" s="9"/>
      <c r="Q24" s="9"/>
      <c r="R24" s="9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2.75" customHeight="1" thickBot="1" x14ac:dyDescent="0.25">
      <c r="A25" s="22">
        <v>1</v>
      </c>
      <c r="B25" s="23" t="s">
        <v>11</v>
      </c>
      <c r="C25" s="24"/>
      <c r="D25" s="25"/>
      <c r="E25" s="25"/>
      <c r="F25" s="25"/>
      <c r="G25" s="25"/>
      <c r="H25" s="25"/>
      <c r="I25" s="25"/>
      <c r="J25" s="25"/>
      <c r="K25" s="26"/>
      <c r="L25" s="3"/>
      <c r="M25" s="12"/>
      <c r="N25" s="9"/>
      <c r="O25" s="9"/>
      <c r="P25" s="9"/>
      <c r="Q25" s="9"/>
      <c r="R25" s="9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2.75" customHeight="1" thickBot="1" x14ac:dyDescent="0.25">
      <c r="A26" s="9"/>
      <c r="B26" s="9"/>
      <c r="C26" s="9"/>
      <c r="D26" s="3"/>
      <c r="E26" s="10"/>
      <c r="F26" s="181"/>
      <c r="G26" s="3"/>
      <c r="H26" s="10"/>
      <c r="I26" s="181"/>
      <c r="J26" s="3"/>
      <c r="K26" s="9"/>
      <c r="L26" s="9"/>
      <c r="M26" s="3"/>
      <c r="N26" s="9"/>
      <c r="O26" s="9"/>
      <c r="P26" s="9"/>
      <c r="Q26" s="9"/>
      <c r="R26" s="9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2.75" customHeight="1" thickBot="1" x14ac:dyDescent="0.25">
      <c r="A27" s="9"/>
      <c r="B27" s="215" t="s">
        <v>81</v>
      </c>
      <c r="C27" s="216"/>
      <c r="D27" s="216"/>
      <c r="E27" s="216"/>
      <c r="F27" s="217"/>
      <c r="G27" s="3"/>
      <c r="H27" s="10"/>
      <c r="I27" s="181"/>
      <c r="J27" s="3"/>
      <c r="Z27" s="3"/>
      <c r="AA27" s="3"/>
      <c r="AB27" s="3"/>
      <c r="AC27" s="3"/>
      <c r="AD27" s="3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2.75" customHeight="1" x14ac:dyDescent="0.2">
      <c r="A28" s="9"/>
      <c r="B28" s="260" t="s">
        <v>12</v>
      </c>
      <c r="C28" s="261"/>
      <c r="D28" s="28" t="s">
        <v>13</v>
      </c>
      <c r="E28" s="78" t="s">
        <v>78</v>
      </c>
      <c r="F28" s="157">
        <v>13</v>
      </c>
      <c r="G28" s="9"/>
      <c r="H28" s="9"/>
      <c r="I28" s="9"/>
      <c r="J28" s="9"/>
      <c r="K28" s="86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3"/>
      <c r="AA28" s="3"/>
      <c r="AB28" s="3"/>
      <c r="AC28" s="3"/>
      <c r="AD28" s="3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2.75" customHeight="1" x14ac:dyDescent="0.2">
      <c r="A29" s="9"/>
      <c r="B29" s="262" t="s">
        <v>14</v>
      </c>
      <c r="C29" s="222"/>
      <c r="D29" s="27" t="s">
        <v>15</v>
      </c>
      <c r="E29" s="4" t="s">
        <v>96</v>
      </c>
      <c r="F29" s="158">
        <v>25</v>
      </c>
      <c r="G29" s="9" t="s">
        <v>120</v>
      </c>
      <c r="H29" s="9"/>
      <c r="I29" s="9"/>
      <c r="J29" s="9"/>
      <c r="K29" s="88"/>
      <c r="L29" s="86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3"/>
      <c r="AA29" s="3"/>
      <c r="AB29" s="3"/>
      <c r="AC29" s="3"/>
      <c r="AD29" s="3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2.75" customHeight="1" thickBot="1" x14ac:dyDescent="0.25">
      <c r="A30" s="9"/>
      <c r="B30" s="262" t="s">
        <v>16</v>
      </c>
      <c r="C30" s="222"/>
      <c r="D30" s="27" t="s">
        <v>17</v>
      </c>
      <c r="E30" s="4" t="s">
        <v>101</v>
      </c>
      <c r="F30" s="158">
        <v>5</v>
      </c>
      <c r="G30" s="9"/>
      <c r="H30" s="9"/>
      <c r="I30" s="9"/>
      <c r="J30" s="9"/>
      <c r="K30" s="9"/>
      <c r="L30" s="9"/>
      <c r="M30" s="3"/>
      <c r="N30" s="9"/>
      <c r="O30" s="3"/>
      <c r="P30" s="9"/>
      <c r="Q30" s="9"/>
      <c r="R30" s="9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2.75" customHeight="1" thickBot="1" x14ac:dyDescent="0.25">
      <c r="A31" s="9"/>
      <c r="B31" s="243" t="s">
        <v>51</v>
      </c>
      <c r="C31" s="244"/>
      <c r="D31" s="29" t="s">
        <v>20</v>
      </c>
      <c r="E31" s="79" t="s">
        <v>96</v>
      </c>
      <c r="F31" s="159">
        <v>0.02</v>
      </c>
      <c r="G31" s="252" t="s">
        <v>33</v>
      </c>
      <c r="H31" s="253"/>
      <c r="I31" s="234" t="s">
        <v>34</v>
      </c>
      <c r="J31" s="235"/>
      <c r="K31" s="9"/>
      <c r="L31" s="9"/>
      <c r="M31" s="9"/>
      <c r="N31" s="9"/>
      <c r="O31" s="9"/>
      <c r="P31" s="9"/>
      <c r="Q31" s="9"/>
      <c r="R31" s="9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2.75" customHeight="1" x14ac:dyDescent="0.2">
      <c r="A32" s="9"/>
      <c r="B32" s="3"/>
      <c r="C32" s="10"/>
      <c r="D32" s="181"/>
      <c r="E32" s="3"/>
      <c r="F32" s="3"/>
      <c r="G32" s="254" t="s">
        <v>25</v>
      </c>
      <c r="H32" s="255"/>
      <c r="I32" s="236"/>
      <c r="J32" s="237"/>
      <c r="K32" s="9"/>
      <c r="L32" s="9"/>
      <c r="M32" s="9"/>
      <c r="N32" s="9"/>
      <c r="O32" s="9"/>
      <c r="P32" s="9"/>
      <c r="Q32" s="9"/>
      <c r="R32" s="9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2.75" customHeight="1" thickBot="1" x14ac:dyDescent="0.25">
      <c r="A33" s="9"/>
      <c r="B33" s="3"/>
      <c r="C33" s="10"/>
      <c r="D33" s="181"/>
      <c r="E33" s="3"/>
      <c r="F33" s="3"/>
      <c r="G33" s="250" t="s">
        <v>26</v>
      </c>
      <c r="H33" s="251"/>
      <c r="I33" s="236">
        <v>0.01</v>
      </c>
      <c r="J33" s="237"/>
      <c r="K33" s="9"/>
      <c r="L33" s="9"/>
      <c r="M33" s="42"/>
      <c r="N33" s="9"/>
      <c r="O33" s="9"/>
      <c r="P33" s="9"/>
      <c r="Q33" s="9"/>
      <c r="R33" s="9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2.75" customHeight="1" thickBot="1" x14ac:dyDescent="0.25">
      <c r="A34" s="9"/>
      <c r="B34" s="201" t="s">
        <v>84</v>
      </c>
      <c r="C34" s="202"/>
      <c r="D34" s="77" t="s">
        <v>97</v>
      </c>
      <c r="E34" s="54">
        <f>F17*F30/3600</f>
        <v>141.38888888888889</v>
      </c>
      <c r="F34" s="3"/>
      <c r="G34" s="250" t="s">
        <v>27</v>
      </c>
      <c r="H34" s="251"/>
      <c r="I34" s="236">
        <v>0.05</v>
      </c>
      <c r="J34" s="237"/>
      <c r="K34" s="9"/>
      <c r="L34" s="9"/>
      <c r="M34" s="9"/>
      <c r="N34" s="9"/>
      <c r="O34" s="9"/>
      <c r="P34" s="9"/>
      <c r="Q34" s="9"/>
      <c r="R34" s="9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2.75" customHeight="1" thickBot="1" x14ac:dyDescent="0.25">
      <c r="A35" s="9"/>
      <c r="B35" s="201" t="s">
        <v>100</v>
      </c>
      <c r="C35" s="202"/>
      <c r="D35" s="77" t="s">
        <v>99</v>
      </c>
      <c r="E35" s="130">
        <f>F30*4/(3600*3.14* (F29/1000)^2)</f>
        <v>2.8308563340410471</v>
      </c>
      <c r="F35" s="3"/>
      <c r="G35" s="256"/>
      <c r="H35" s="257"/>
      <c r="I35" s="236"/>
      <c r="J35" s="237"/>
      <c r="K35" s="9"/>
      <c r="L35" s="9"/>
      <c r="M35" s="9"/>
      <c r="N35" s="9"/>
      <c r="O35" s="9"/>
      <c r="P35" s="9"/>
      <c r="Q35" s="9"/>
      <c r="R35" s="9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2.75" customHeight="1" x14ac:dyDescent="0.2">
      <c r="A36" s="9"/>
      <c r="B36" s="3"/>
      <c r="C36" s="10"/>
      <c r="D36" s="181"/>
      <c r="E36" s="3"/>
      <c r="F36" s="3"/>
      <c r="G36" s="254" t="s">
        <v>28</v>
      </c>
      <c r="H36" s="255"/>
      <c r="I36" s="236"/>
      <c r="J36" s="237"/>
      <c r="K36" s="9"/>
      <c r="L36" s="9"/>
      <c r="M36" s="9"/>
      <c r="N36" s="9"/>
      <c r="O36" s="9"/>
      <c r="P36" s="9"/>
      <c r="Q36" s="9"/>
      <c r="R36" s="9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2.75" customHeight="1" x14ac:dyDescent="0.2">
      <c r="A37" s="9"/>
      <c r="B37" s="3"/>
      <c r="C37" s="10"/>
      <c r="D37" s="181"/>
      <c r="E37" s="3"/>
      <c r="F37" s="3"/>
      <c r="G37" s="250" t="s">
        <v>29</v>
      </c>
      <c r="H37" s="251"/>
      <c r="I37" s="236">
        <v>0.04</v>
      </c>
      <c r="J37" s="237"/>
      <c r="K37" s="9"/>
      <c r="L37" s="9"/>
      <c r="M37" s="9"/>
      <c r="N37" s="9"/>
      <c r="O37" s="9"/>
      <c r="P37" s="9"/>
      <c r="Q37" s="9"/>
      <c r="R37" s="9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2.75" customHeight="1" x14ac:dyDescent="0.2">
      <c r="A38" s="9"/>
      <c r="B38" s="3"/>
      <c r="C38" s="10"/>
      <c r="D38" s="181"/>
      <c r="E38" s="3"/>
      <c r="F38" s="3"/>
      <c r="G38" s="250" t="s">
        <v>30</v>
      </c>
      <c r="H38" s="251"/>
      <c r="I38" s="236">
        <v>0.1</v>
      </c>
      <c r="J38" s="237"/>
      <c r="K38" s="9"/>
      <c r="L38" s="9"/>
      <c r="M38" s="9"/>
      <c r="N38" s="9"/>
      <c r="O38" s="9"/>
      <c r="P38" s="9"/>
      <c r="Q38" s="9"/>
      <c r="R38" s="9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2.75" customHeight="1" x14ac:dyDescent="0.2">
      <c r="A39" s="9"/>
      <c r="B39" s="3"/>
      <c r="C39" s="10"/>
      <c r="D39" s="181"/>
      <c r="E39" s="3"/>
      <c r="F39" s="3"/>
      <c r="G39" s="250" t="s">
        <v>219</v>
      </c>
      <c r="H39" s="251"/>
      <c r="I39" s="236">
        <v>0.4</v>
      </c>
      <c r="J39" s="237"/>
      <c r="K39" s="9"/>
      <c r="L39" s="9"/>
      <c r="M39" s="9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2.75" customHeight="1" thickBot="1" x14ac:dyDescent="0.25">
      <c r="A40" s="9"/>
      <c r="B40" s="3"/>
      <c r="C40" s="10"/>
      <c r="D40" s="181"/>
      <c r="E40" s="3"/>
      <c r="F40" s="3"/>
      <c r="G40" s="245" t="s">
        <v>32</v>
      </c>
      <c r="H40" s="246"/>
      <c r="I40" s="238">
        <v>0.02</v>
      </c>
      <c r="J40" s="239"/>
      <c r="K40" s="9"/>
      <c r="L40" s="9"/>
      <c r="M40" s="9"/>
      <c r="O40" s="9"/>
      <c r="P40" s="9"/>
      <c r="Q40" s="9"/>
      <c r="R40" s="9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2.75" customHeight="1" thickBot="1" x14ac:dyDescent="0.25">
      <c r="A41" s="9"/>
      <c r="B41" s="3"/>
      <c r="C41" s="10"/>
      <c r="D41" s="181"/>
      <c r="E41" s="3"/>
      <c r="F41" s="3"/>
      <c r="G41" s="240" t="s">
        <v>35</v>
      </c>
      <c r="H41" s="241"/>
      <c r="I41" s="241"/>
      <c r="J41" s="242"/>
      <c r="K41" s="9"/>
      <c r="L41" s="9"/>
      <c r="M41" s="9"/>
      <c r="N41" s="9"/>
      <c r="O41" s="9"/>
      <c r="P41" s="9"/>
      <c r="Q41" s="9"/>
      <c r="R41" s="9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2.75" customHeight="1" x14ac:dyDescent="0.2">
      <c r="A42" s="9"/>
      <c r="B42" s="3"/>
      <c r="C42" s="10"/>
      <c r="D42" s="181"/>
      <c r="E42" s="3"/>
      <c r="F42" s="3"/>
      <c r="G42" s="3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2.75" customHeight="1" x14ac:dyDescent="0.2">
      <c r="A43" s="9"/>
      <c r="B43" s="208" t="s">
        <v>46</v>
      </c>
      <c r="C43" s="208"/>
      <c r="D43" s="230" t="s">
        <v>19</v>
      </c>
      <c r="E43" s="231"/>
      <c r="F43" s="34">
        <f>1/(2*LOG(3.71*F29/F31))^2</f>
        <v>1.8598924007319037E-2</v>
      </c>
      <c r="G43" s="10"/>
      <c r="H43" s="9"/>
      <c r="I43" s="9"/>
      <c r="J43" s="9"/>
      <c r="K43" s="9"/>
      <c r="L43" s="9"/>
      <c r="M43" s="9"/>
      <c r="N43" s="9"/>
      <c r="O43" s="96"/>
      <c r="P43" s="9"/>
      <c r="Q43" s="9"/>
      <c r="R43" s="9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2.75" customHeight="1" thickBot="1" x14ac:dyDescent="0.25">
      <c r="A44" s="9"/>
      <c r="B44" s="9"/>
      <c r="C44" s="9"/>
      <c r="D44" s="14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2.75" customHeight="1" thickBot="1" x14ac:dyDescent="0.25">
      <c r="A45" s="9"/>
      <c r="B45" s="232" t="s">
        <v>48</v>
      </c>
      <c r="C45" s="233"/>
      <c r="D45" s="35" t="s">
        <v>22</v>
      </c>
      <c r="E45" s="33" t="s">
        <v>47</v>
      </c>
      <c r="F45" s="36">
        <f>(6.25*10^5*$F$43*$F$30^2*$F$21/$F$29^5)</f>
        <v>6.0111722391655124E-2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2.75" customHeight="1" thickBot="1" x14ac:dyDescent="0.25">
      <c r="A46" s="9"/>
      <c r="B46" s="213" t="s">
        <v>49</v>
      </c>
      <c r="C46" s="214"/>
      <c r="D46" s="55" t="s">
        <v>88</v>
      </c>
      <c r="E46" s="38" t="s">
        <v>47</v>
      </c>
      <c r="F46" s="39">
        <f>(6.25*10^5*$F$43*$F$30^2*$F$21/$F$29^5)*$F$28</f>
        <v>0.78145239109151665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2.75" customHeight="1" thickBot="1" x14ac:dyDescent="0.25">
      <c r="A47" s="9"/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2.75" customHeight="1" thickBot="1" x14ac:dyDescent="0.25">
      <c r="A48" s="22">
        <v>2</v>
      </c>
      <c r="B48" s="23" t="s">
        <v>50</v>
      </c>
      <c r="C48" s="24"/>
      <c r="D48" s="25"/>
      <c r="E48" s="25"/>
      <c r="F48" s="25"/>
      <c r="G48" s="25"/>
      <c r="H48" s="25"/>
      <c r="I48" s="25"/>
      <c r="J48" s="25"/>
      <c r="K48" s="26"/>
      <c r="L48" s="9"/>
      <c r="M48" s="9"/>
      <c r="N48" s="9"/>
      <c r="O48" s="9"/>
      <c r="P48" s="9"/>
      <c r="Q48" s="9"/>
      <c r="R48" s="15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2.75" customHeight="1" thickBot="1" x14ac:dyDescent="0.25">
      <c r="A49" s="40"/>
      <c r="B49" s="41"/>
      <c r="C49" s="42"/>
      <c r="D49" s="8"/>
      <c r="E49" s="8"/>
      <c r="F49" s="8"/>
      <c r="G49" s="8"/>
      <c r="H49" s="8"/>
      <c r="I49" s="8"/>
      <c r="J49" s="9"/>
      <c r="K49" s="9"/>
      <c r="L49" s="9"/>
      <c r="M49" s="9"/>
      <c r="N49" s="9"/>
      <c r="O49" s="9"/>
      <c r="P49" s="9"/>
      <c r="Q49" s="9"/>
      <c r="R49" s="15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8" customHeight="1" thickBot="1" x14ac:dyDescent="0.25">
      <c r="A50" s="9"/>
      <c r="B50" s="224" t="s">
        <v>53</v>
      </c>
      <c r="C50" s="225"/>
      <c r="D50" s="74">
        <v>10</v>
      </c>
      <c r="E50" s="75">
        <v>15</v>
      </c>
      <c r="F50" s="75">
        <v>20</v>
      </c>
      <c r="G50" s="75">
        <v>25</v>
      </c>
      <c r="H50" s="75">
        <v>32</v>
      </c>
      <c r="I50" s="75">
        <v>40</v>
      </c>
      <c r="J50" s="76">
        <v>50</v>
      </c>
      <c r="K50" s="211" t="s">
        <v>79</v>
      </c>
      <c r="L50" s="9"/>
      <c r="M50" s="9"/>
      <c r="N50" s="9"/>
      <c r="O50" s="9"/>
      <c r="P50" s="9"/>
      <c r="Q50" s="9"/>
      <c r="R50" s="15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2.75" customHeight="1" thickBot="1" x14ac:dyDescent="0.25">
      <c r="A51" s="9"/>
      <c r="B51" s="226" t="s">
        <v>77</v>
      </c>
      <c r="C51" s="227"/>
      <c r="D51" s="218" t="s">
        <v>76</v>
      </c>
      <c r="E51" s="219"/>
      <c r="F51" s="219"/>
      <c r="G51" s="219"/>
      <c r="H51" s="219"/>
      <c r="I51" s="219"/>
      <c r="J51" s="220"/>
      <c r="K51" s="212"/>
      <c r="L51" s="9"/>
      <c r="M51" s="9"/>
      <c r="N51" s="9"/>
      <c r="O51" s="9"/>
      <c r="P51" s="9"/>
      <c r="Q51" s="9"/>
      <c r="R51" s="15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2.75" customHeight="1" x14ac:dyDescent="0.2">
      <c r="A52" s="9"/>
      <c r="B52" s="228" t="s">
        <v>54</v>
      </c>
      <c r="C52" s="229"/>
      <c r="D52" s="160"/>
      <c r="E52" s="160"/>
      <c r="F52" s="160"/>
      <c r="G52" s="160"/>
      <c r="H52" s="160"/>
      <c r="I52" s="160"/>
      <c r="J52" s="161"/>
      <c r="K52" s="49">
        <f>D52*0.1+E52*0.2+F52*0.2+G52*0.3+H52*0.5+I52*0.6+J52*0.8</f>
        <v>0</v>
      </c>
      <c r="L52" s="9"/>
      <c r="M52" s="9"/>
      <c r="N52" s="9"/>
      <c r="O52" s="9"/>
      <c r="P52" s="9"/>
      <c r="Q52" s="9"/>
      <c r="R52" s="15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2.75" customHeight="1" x14ac:dyDescent="0.2">
      <c r="A53" s="9"/>
      <c r="B53" s="194" t="s">
        <v>55</v>
      </c>
      <c r="C53" s="195"/>
      <c r="D53" s="160"/>
      <c r="E53" s="160"/>
      <c r="F53" s="160"/>
      <c r="G53" s="160"/>
      <c r="H53" s="160"/>
      <c r="I53" s="160"/>
      <c r="J53" s="161"/>
      <c r="K53" s="50">
        <f t="shared" ref="K53" si="0">D53*0.1+E53*0.2+F53*0.2+G53*0.3+H53*0.5+I53*0.6+J53*0.8</f>
        <v>0</v>
      </c>
      <c r="L53" s="9"/>
      <c r="M53" s="9"/>
      <c r="N53" s="9"/>
      <c r="O53" s="9"/>
      <c r="P53" s="9"/>
      <c r="Q53" s="9"/>
      <c r="R53" s="15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2.75" customHeight="1" x14ac:dyDescent="0.2">
      <c r="A54" s="9"/>
      <c r="B54" s="194" t="s">
        <v>56</v>
      </c>
      <c r="C54" s="195"/>
      <c r="D54" s="162"/>
      <c r="E54" s="162"/>
      <c r="F54" s="162"/>
      <c r="G54" s="162"/>
      <c r="H54" s="162"/>
      <c r="I54" s="162"/>
      <c r="J54" s="163"/>
      <c r="K54" s="50">
        <f>D54*0.3+E54*0.5+F54*0.6+G54*1+H54*1.4+I54*1.9+J54*2.5</f>
        <v>0</v>
      </c>
      <c r="L54" s="9"/>
      <c r="M54" s="9"/>
      <c r="N54" s="9"/>
      <c r="O54" s="9"/>
      <c r="P54" s="9"/>
      <c r="Q54" s="9"/>
      <c r="R54" s="15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2.75" customHeight="1" x14ac:dyDescent="0.2">
      <c r="A55" s="9"/>
      <c r="B55" s="194" t="s">
        <v>57</v>
      </c>
      <c r="C55" s="195"/>
      <c r="D55" s="162"/>
      <c r="E55" s="162"/>
      <c r="F55" s="162"/>
      <c r="G55" s="162"/>
      <c r="H55" s="162"/>
      <c r="I55" s="162"/>
      <c r="J55" s="163"/>
      <c r="K55" s="50">
        <f>D55*0.1+E55*0.2+F55*0.3+G55*0.5+H55*0.7+I55*0.9+J55*1.2</f>
        <v>0</v>
      </c>
      <c r="L55" s="9"/>
      <c r="M55" s="9"/>
      <c r="N55" s="9"/>
      <c r="O55" s="9"/>
      <c r="P55" s="9"/>
      <c r="Q55" s="9"/>
      <c r="R55" s="15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2.75" customHeight="1" x14ac:dyDescent="0.2">
      <c r="A56" s="9"/>
      <c r="B56" s="194" t="s">
        <v>58</v>
      </c>
      <c r="C56" s="195"/>
      <c r="D56" s="162">
        <v>2</v>
      </c>
      <c r="E56" s="162"/>
      <c r="F56" s="162"/>
      <c r="G56" s="162"/>
      <c r="H56" s="162"/>
      <c r="I56" s="162"/>
      <c r="J56" s="163"/>
      <c r="K56" s="50">
        <f>D56*0.1+E56*0.1+F56*0.2+G56*0.3+H56*0.4+I56*0.5+J56*0.7</f>
        <v>0.2</v>
      </c>
      <c r="L56" s="9"/>
      <c r="M56" s="9"/>
      <c r="N56" s="9"/>
      <c r="O56" s="9"/>
      <c r="P56" s="9"/>
      <c r="Q56" s="9"/>
      <c r="R56" s="15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2.75" customHeight="1" x14ac:dyDescent="0.2">
      <c r="A57" s="9"/>
      <c r="B57" s="194" t="s">
        <v>59</v>
      </c>
      <c r="C57" s="195"/>
      <c r="D57" s="162"/>
      <c r="E57" s="162"/>
      <c r="F57" s="162"/>
      <c r="G57" s="162"/>
      <c r="H57" s="162"/>
      <c r="I57" s="162"/>
      <c r="J57" s="163"/>
      <c r="K57" s="50">
        <f>D57*0.1+E57*0.1+F57*0.2+G57*0.2+H57*0.3+I57*0.4+J57*0.5</f>
        <v>0</v>
      </c>
      <c r="L57" s="9"/>
      <c r="M57" s="9"/>
      <c r="N57" s="9"/>
      <c r="O57" s="9"/>
      <c r="P57" s="9"/>
      <c r="Q57" s="9"/>
      <c r="R57" s="1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2.75" customHeight="1" x14ac:dyDescent="0.2">
      <c r="A58" s="9"/>
      <c r="B58" s="194" t="s">
        <v>60</v>
      </c>
      <c r="C58" s="195"/>
      <c r="D58" s="162"/>
      <c r="E58" s="162"/>
      <c r="F58" s="162"/>
      <c r="G58" s="162"/>
      <c r="H58" s="162"/>
      <c r="I58" s="162"/>
      <c r="J58" s="163"/>
      <c r="K58" s="50">
        <f>0</f>
        <v>0</v>
      </c>
      <c r="L58" s="9"/>
      <c r="M58" s="9"/>
      <c r="N58" s="9"/>
      <c r="O58" s="9"/>
      <c r="P58" s="9"/>
      <c r="Q58" s="9"/>
      <c r="R58" s="1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2.75" customHeight="1" x14ac:dyDescent="0.2">
      <c r="A59" s="9"/>
      <c r="B59" s="194" t="s">
        <v>61</v>
      </c>
      <c r="C59" s="195"/>
      <c r="D59" s="162"/>
      <c r="E59" s="162"/>
      <c r="F59" s="162"/>
      <c r="G59" s="162"/>
      <c r="H59" s="162"/>
      <c r="I59" s="162"/>
      <c r="J59" s="163"/>
      <c r="K59" s="50">
        <f>D59*0.3+E59*0.5+F59*0.6+G59*1+H59*1.4+I59*1.9+J59*2.5</f>
        <v>0</v>
      </c>
      <c r="L59" s="9"/>
      <c r="M59" s="9"/>
      <c r="N59" s="9"/>
      <c r="O59" s="9"/>
      <c r="P59" s="9"/>
      <c r="Q59" s="9"/>
      <c r="R59" s="1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2.75" customHeight="1" x14ac:dyDescent="0.2">
      <c r="A60" s="9"/>
      <c r="B60" s="194" t="s">
        <v>73</v>
      </c>
      <c r="C60" s="195"/>
      <c r="D60" s="162"/>
      <c r="E60" s="162"/>
      <c r="F60" s="162"/>
      <c r="G60" s="162"/>
      <c r="H60" s="162"/>
      <c r="I60" s="162"/>
      <c r="J60" s="163"/>
      <c r="K60" s="50">
        <f>D60*0.3+E60*0.5+F60*0.6+G60*1+H60*1.4+I60*1.9+J60*2.5</f>
        <v>0</v>
      </c>
      <c r="L60" s="9"/>
      <c r="M60" s="9"/>
      <c r="N60" s="9"/>
      <c r="O60" s="9"/>
      <c r="P60" s="9"/>
      <c r="Q60" s="9"/>
      <c r="R60" s="1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2.75" customHeight="1" x14ac:dyDescent="0.2">
      <c r="A61" s="9"/>
      <c r="B61" s="194" t="s">
        <v>74</v>
      </c>
      <c r="C61" s="195"/>
      <c r="D61" s="162"/>
      <c r="E61" s="162"/>
      <c r="F61" s="162"/>
      <c r="G61" s="162"/>
      <c r="H61" s="162"/>
      <c r="I61" s="162"/>
      <c r="J61" s="163"/>
      <c r="K61" s="50">
        <f>D61*0.5+E61*1+F61*1.3+G61*2+H61*2.8+I61*3.8+J61*5</f>
        <v>0</v>
      </c>
      <c r="L61" s="9"/>
      <c r="M61" s="9"/>
      <c r="N61" s="9"/>
      <c r="O61" s="9"/>
      <c r="P61" s="9"/>
      <c r="Q61" s="9"/>
      <c r="R61" s="15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2.75" customHeight="1" x14ac:dyDescent="0.2">
      <c r="A62" s="9"/>
      <c r="B62" s="194" t="s">
        <v>62</v>
      </c>
      <c r="C62" s="195"/>
      <c r="D62" s="150"/>
      <c r="E62" s="162"/>
      <c r="F62" s="162"/>
      <c r="G62" s="162"/>
      <c r="H62" s="162"/>
      <c r="I62" s="162"/>
      <c r="J62" s="163"/>
      <c r="K62" s="50">
        <f>0</f>
        <v>0</v>
      </c>
      <c r="L62" s="9"/>
      <c r="M62" s="9"/>
      <c r="N62" s="9"/>
      <c r="O62" s="9"/>
      <c r="P62" s="9"/>
      <c r="Q62" s="9"/>
      <c r="R62" s="15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2.75" customHeight="1" x14ac:dyDescent="0.2">
      <c r="A63" s="9"/>
      <c r="B63" s="194" t="s">
        <v>63</v>
      </c>
      <c r="C63" s="195"/>
      <c r="D63" s="150"/>
      <c r="E63" s="162"/>
      <c r="F63" s="162"/>
      <c r="G63" s="162"/>
      <c r="H63" s="162"/>
      <c r="I63" s="162"/>
      <c r="J63" s="163"/>
      <c r="K63" s="50">
        <f>D63*0.2+E63*0.4+F63*0.5+G63*0.9+H63*1.2+I63*1.9+J63*2.2</f>
        <v>0</v>
      </c>
      <c r="L63" s="9"/>
      <c r="M63" s="9"/>
      <c r="N63" s="9"/>
      <c r="O63" s="9"/>
      <c r="P63" s="9"/>
      <c r="Q63" s="9"/>
      <c r="R63" s="15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2.75" customHeight="1" x14ac:dyDescent="0.2">
      <c r="A64" s="9"/>
      <c r="B64" s="194" t="s">
        <v>64</v>
      </c>
      <c r="C64" s="195"/>
      <c r="D64" s="162"/>
      <c r="E64" s="162"/>
      <c r="F64" s="162"/>
      <c r="G64" s="162"/>
      <c r="H64" s="162"/>
      <c r="I64" s="162"/>
      <c r="J64" s="163"/>
      <c r="K64" s="50">
        <f>D64*0.2+E64*0.4+F64*0.5+G64*0.9+H64*1.2+I64*1.7+J64*2.2</f>
        <v>0</v>
      </c>
      <c r="L64" s="9"/>
      <c r="M64" s="9"/>
      <c r="N64" s="9"/>
      <c r="O64" s="9"/>
      <c r="P64" s="9"/>
      <c r="Q64" s="9"/>
      <c r="R64" s="9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2.75" customHeight="1" x14ac:dyDescent="0.2">
      <c r="A65" s="9"/>
      <c r="B65" s="196" t="s">
        <v>65</v>
      </c>
      <c r="C65" s="197"/>
      <c r="D65" s="162"/>
      <c r="E65" s="162"/>
      <c r="F65" s="162"/>
      <c r="G65" s="162"/>
      <c r="H65" s="162"/>
      <c r="I65" s="162"/>
      <c r="J65" s="163"/>
      <c r="K65" s="50">
        <f>D65*0.3+E65*0.5+F65*0.6+G65*1+H65*1.4+I65*1.7+J65*2.5</f>
        <v>0</v>
      </c>
      <c r="L65" s="9"/>
      <c r="M65" s="9"/>
      <c r="N65" s="9"/>
      <c r="O65" s="9"/>
      <c r="P65" s="9"/>
      <c r="Q65" s="9"/>
      <c r="R65" s="9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2.75" customHeight="1" x14ac:dyDescent="0.2">
      <c r="A66" s="9"/>
      <c r="B66" s="194" t="s">
        <v>66</v>
      </c>
      <c r="C66" s="195"/>
      <c r="D66" s="162"/>
      <c r="E66" s="162"/>
      <c r="F66" s="162"/>
      <c r="G66" s="162"/>
      <c r="H66" s="162"/>
      <c r="I66" s="162"/>
      <c r="J66" s="163"/>
      <c r="K66" s="50">
        <f>0</f>
        <v>0</v>
      </c>
      <c r="L66" s="9"/>
      <c r="M66" s="9"/>
      <c r="N66" s="9"/>
      <c r="O66" s="9"/>
      <c r="P66" s="9"/>
      <c r="Q66" s="9"/>
      <c r="R66" s="9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2.75" customHeight="1" x14ac:dyDescent="0.2">
      <c r="A67" s="9"/>
      <c r="B67" s="194" t="s">
        <v>67</v>
      </c>
      <c r="C67" s="195"/>
      <c r="D67" s="162"/>
      <c r="E67" s="162"/>
      <c r="F67" s="162"/>
      <c r="G67" s="162"/>
      <c r="H67" s="162"/>
      <c r="I67" s="162"/>
      <c r="J67" s="163"/>
      <c r="K67" s="50">
        <f>D67*0.3+E67*0.5+F67*0.6+G67*1+H67*1.4+I67*1.9+J67*2.5</f>
        <v>0</v>
      </c>
      <c r="L67" s="9"/>
      <c r="M67" s="9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2.75" customHeight="1" x14ac:dyDescent="0.2">
      <c r="A68" s="9"/>
      <c r="B68" s="194" t="s">
        <v>68</v>
      </c>
      <c r="C68" s="195"/>
      <c r="D68" s="162"/>
      <c r="E68" s="162"/>
      <c r="F68" s="162"/>
      <c r="G68" s="162"/>
      <c r="H68" s="162"/>
      <c r="I68" s="162"/>
      <c r="J68" s="163"/>
      <c r="K68" s="50">
        <f>0</f>
        <v>0</v>
      </c>
      <c r="L68" s="9"/>
      <c r="M68" s="9"/>
      <c r="N68" s="9"/>
      <c r="O68" s="9"/>
      <c r="P68" s="9"/>
      <c r="Q68" s="9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2.75" customHeight="1" x14ac:dyDescent="0.2">
      <c r="A69" s="9"/>
      <c r="B69" s="194" t="s">
        <v>69</v>
      </c>
      <c r="C69" s="195"/>
      <c r="D69" s="162"/>
      <c r="E69" s="162"/>
      <c r="F69" s="162"/>
      <c r="G69" s="162"/>
      <c r="H69" s="162"/>
      <c r="I69" s="162"/>
      <c r="J69" s="163"/>
      <c r="K69" s="50">
        <f>D69*0.3+E69*0.5+F69*0.6+G69*1+H69*1.4+I69*1.9+J69*2.5</f>
        <v>0</v>
      </c>
      <c r="L69" s="9"/>
      <c r="M69" s="9"/>
      <c r="N69" s="9"/>
      <c r="O69" s="9"/>
      <c r="P69" s="9"/>
      <c r="Q69" s="9"/>
      <c r="R69" s="9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2.75" customHeight="1" x14ac:dyDescent="0.2">
      <c r="A70" s="9"/>
      <c r="B70" s="196" t="s">
        <v>70</v>
      </c>
      <c r="C70" s="197"/>
      <c r="D70" s="162"/>
      <c r="E70" s="164"/>
      <c r="F70" s="162"/>
      <c r="G70" s="162"/>
      <c r="H70" s="162"/>
      <c r="I70" s="162"/>
      <c r="J70" s="163"/>
      <c r="K70" s="50">
        <f>D70*0.4+E70*0.6+F70*0.8+G70*1.3+H70*1.9+I70*2.6+J70*3.4</f>
        <v>0</v>
      </c>
      <c r="L70" s="9"/>
      <c r="M70" s="9"/>
      <c r="N70" s="9"/>
      <c r="O70" s="9"/>
      <c r="P70" s="9"/>
      <c r="Q70" s="9"/>
      <c r="R70" s="9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2.75" customHeight="1" x14ac:dyDescent="0.2">
      <c r="A71" s="9"/>
      <c r="B71" s="196" t="s">
        <v>71</v>
      </c>
      <c r="C71" s="197"/>
      <c r="D71" s="162"/>
      <c r="E71" s="162"/>
      <c r="F71" s="162"/>
      <c r="G71" s="162"/>
      <c r="H71" s="162"/>
      <c r="I71" s="162"/>
      <c r="J71" s="163"/>
      <c r="K71" s="50">
        <f>D71*0.9+E71*1.6+F71*2.1+G71*3.4+H71*4.7+I71*6.5+J71*8.4</f>
        <v>0</v>
      </c>
      <c r="L71" s="9"/>
      <c r="M71" s="9"/>
      <c r="N71" s="9"/>
      <c r="O71" s="9"/>
      <c r="P71" s="9"/>
      <c r="Q71" s="9"/>
      <c r="R71" s="9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2.75" customHeight="1" thickBot="1" x14ac:dyDescent="0.25">
      <c r="A72" s="9"/>
      <c r="B72" s="196" t="s">
        <v>72</v>
      </c>
      <c r="C72" s="197"/>
      <c r="D72" s="162"/>
      <c r="E72" s="162"/>
      <c r="F72" s="162"/>
      <c r="G72" s="162"/>
      <c r="H72" s="165"/>
      <c r="I72" s="165"/>
      <c r="J72" s="166"/>
      <c r="K72" s="51">
        <f>D72*0.1+E72*0.2+F72*0.2+G72*0.3+H72*0.5+I72*0.6+J72*0.8</f>
        <v>0</v>
      </c>
      <c r="L72" s="10"/>
      <c r="M72" s="9"/>
      <c r="N72" s="9"/>
      <c r="O72" s="9"/>
      <c r="P72" s="9"/>
      <c r="Q72" s="9"/>
      <c r="R72" s="9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2.75" customHeight="1" thickBot="1" x14ac:dyDescent="0.25">
      <c r="A73" s="9"/>
      <c r="B73" s="9"/>
      <c r="C73" s="9"/>
      <c r="D73" s="9"/>
      <c r="E73" s="9"/>
      <c r="F73" s="9"/>
      <c r="G73" s="9"/>
      <c r="H73" s="209" t="s">
        <v>75</v>
      </c>
      <c r="I73" s="210"/>
      <c r="J73" s="48" t="s">
        <v>78</v>
      </c>
      <c r="K73" s="52">
        <f>SUM(K52:K72)</f>
        <v>0.2</v>
      </c>
      <c r="L73" s="10"/>
      <c r="M73" s="9"/>
      <c r="N73" s="9"/>
      <c r="O73" s="9"/>
      <c r="P73" s="9"/>
      <c r="Q73" s="9"/>
      <c r="R73" s="9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2.75" customHeight="1" thickBot="1" x14ac:dyDescent="0.25">
      <c r="A74" s="9"/>
      <c r="B74" s="9"/>
      <c r="C74" s="9"/>
      <c r="D74" s="9"/>
      <c r="E74" s="9"/>
      <c r="F74" s="9"/>
      <c r="G74" s="9"/>
      <c r="H74" s="31"/>
      <c r="I74" s="31"/>
      <c r="J74" s="7"/>
      <c r="K74" s="42"/>
      <c r="L74" s="10"/>
      <c r="M74" s="9"/>
      <c r="N74" s="9"/>
      <c r="O74" s="9"/>
      <c r="P74" s="9"/>
      <c r="Q74" s="9"/>
      <c r="R74" s="9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2.75" customHeight="1" thickBot="1" x14ac:dyDescent="0.25">
      <c r="A75" s="9"/>
      <c r="B75" s="213" t="s">
        <v>80</v>
      </c>
      <c r="C75" s="214"/>
      <c r="D75" s="37" t="s">
        <v>94</v>
      </c>
      <c r="E75" s="38" t="s">
        <v>47</v>
      </c>
      <c r="F75" s="39">
        <f>(6.25*10^5*$F$43*$F$30^2*$F$21/$F$29^5)*$K$73</f>
        <v>1.2022344478331025E-2</v>
      </c>
      <c r="G75" s="9"/>
      <c r="H75" s="9"/>
      <c r="I75" s="9"/>
      <c r="J75" s="9"/>
      <c r="K75" s="9"/>
      <c r="L75" s="10"/>
      <c r="M75" s="9"/>
      <c r="N75" s="9"/>
      <c r="O75" s="9"/>
      <c r="P75" s="9"/>
      <c r="Q75" s="9"/>
      <c r="R75" s="9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2.75" customHeight="1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10"/>
      <c r="M76" s="9"/>
      <c r="N76" s="9"/>
      <c r="O76" s="9"/>
      <c r="P76" s="9"/>
      <c r="Q76" s="9"/>
      <c r="R76" s="9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2.75" customHeight="1" thickBo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2.75" customHeight="1" thickBot="1" x14ac:dyDescent="0.25">
      <c r="A78" s="22">
        <v>3</v>
      </c>
      <c r="B78" s="23" t="s">
        <v>52</v>
      </c>
      <c r="C78" s="24"/>
      <c r="D78" s="25"/>
      <c r="E78" s="25"/>
      <c r="F78" s="25"/>
      <c r="G78" s="25"/>
      <c r="H78" s="25"/>
      <c r="I78" s="25"/>
      <c r="J78" s="25"/>
      <c r="K78" s="26"/>
      <c r="L78" s="9"/>
      <c r="M78" s="9"/>
      <c r="N78" s="9"/>
      <c r="O78" s="9"/>
      <c r="P78" s="9"/>
      <c r="Q78" s="9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2.75" customHeight="1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2.75" customHeight="1" thickBo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3.5" customHeight="1" thickBot="1" x14ac:dyDescent="0.25">
      <c r="A81" s="9"/>
      <c r="B81" s="203" t="s">
        <v>82</v>
      </c>
      <c r="C81" s="204"/>
      <c r="D81" s="205"/>
      <c r="E81" s="48" t="s">
        <v>78</v>
      </c>
      <c r="F81" s="167">
        <v>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2.75" customHeight="1" thickBot="1" x14ac:dyDescent="0.25">
      <c r="A82" s="10"/>
      <c r="B82" s="10"/>
      <c r="C82" s="10"/>
      <c r="D82" s="14"/>
      <c r="E82" s="10"/>
      <c r="F82" s="10"/>
      <c r="G82" s="10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2.75" customHeight="1" thickBot="1" x14ac:dyDescent="0.25">
      <c r="A83" s="10"/>
      <c r="B83" s="206" t="s">
        <v>83</v>
      </c>
      <c r="C83" s="207"/>
      <c r="D83" s="53" t="s">
        <v>95</v>
      </c>
      <c r="E83" s="38" t="s">
        <v>47</v>
      </c>
      <c r="F83" s="39">
        <f>IF(C9&lt;&gt;0,(0.13)*F81,-0.04*F81)</f>
        <v>0.78</v>
      </c>
      <c r="G83" s="10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2.75" customHeight="1" x14ac:dyDescent="0.2">
      <c r="A84" s="10"/>
      <c r="B84" s="10"/>
      <c r="C84" s="10"/>
      <c r="D84" s="16"/>
      <c r="E84" s="16"/>
      <c r="F84" s="16"/>
      <c r="G84" s="10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2.75" customHeight="1" x14ac:dyDescent="0.2">
      <c r="A85" s="10"/>
      <c r="B85" s="10"/>
      <c r="C85" s="10"/>
      <c r="D85" s="16"/>
      <c r="E85" s="16"/>
      <c r="F85" s="16"/>
      <c r="G85" s="10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2.75" customHeight="1" thickBot="1" x14ac:dyDescent="0.25">
      <c r="A86" s="10"/>
      <c r="B86" s="10"/>
      <c r="C86" s="10"/>
      <c r="D86" s="16"/>
      <c r="E86" s="16"/>
      <c r="F86" s="16"/>
      <c r="G86" s="10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2.75" customHeight="1" thickBot="1" x14ac:dyDescent="0.25">
      <c r="A87" s="22"/>
      <c r="B87" s="23" t="s">
        <v>85</v>
      </c>
      <c r="C87" s="24"/>
      <c r="D87" s="25"/>
      <c r="E87" s="25"/>
      <c r="F87" s="25"/>
      <c r="G87" s="25"/>
      <c r="H87" s="25"/>
      <c r="I87" s="25"/>
      <c r="J87" s="25"/>
      <c r="K87" s="26"/>
      <c r="L87" s="9"/>
      <c r="M87" s="9"/>
      <c r="N87" s="9"/>
      <c r="O87" s="9"/>
      <c r="P87" s="9"/>
      <c r="Q87" s="9"/>
      <c r="R87" s="9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2.75" customHeight="1" x14ac:dyDescent="0.2">
      <c r="A88" s="9"/>
      <c r="B88" s="10"/>
      <c r="C88" s="10"/>
      <c r="D88" s="16"/>
      <c r="E88" s="16"/>
      <c r="F88" s="16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2.75" customHeight="1" thickBot="1" x14ac:dyDescent="0.25">
      <c r="A89" s="9"/>
      <c r="B89" s="1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2.75" customHeight="1" x14ac:dyDescent="0.2">
      <c r="A90" s="189"/>
      <c r="B90" s="57" t="s">
        <v>86</v>
      </c>
      <c r="C90" s="192" t="s">
        <v>87</v>
      </c>
      <c r="D90" s="193"/>
      <c r="E90" s="65" t="s">
        <v>88</v>
      </c>
      <c r="F90" s="178" t="s">
        <v>89</v>
      </c>
      <c r="G90" s="66" t="s">
        <v>90</v>
      </c>
      <c r="H90" s="68" t="s">
        <v>91</v>
      </c>
      <c r="I90" s="71" t="s">
        <v>92</v>
      </c>
      <c r="J90" s="59" t="s">
        <v>93</v>
      </c>
      <c r="K90" s="9"/>
      <c r="L90" s="9"/>
      <c r="M90" s="9"/>
      <c r="N90" s="9"/>
      <c r="O90" s="9"/>
      <c r="P90" s="9"/>
      <c r="Q90" s="9"/>
      <c r="R90" s="9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2.75" customHeight="1" x14ac:dyDescent="0.2">
      <c r="A91" s="189"/>
      <c r="B91" s="60" t="s">
        <v>97</v>
      </c>
      <c r="C91" s="187" t="s">
        <v>96</v>
      </c>
      <c r="D91" s="188"/>
      <c r="E91" s="60" t="s">
        <v>47</v>
      </c>
      <c r="F91" s="56" t="s">
        <v>47</v>
      </c>
      <c r="G91" s="61" t="s">
        <v>47</v>
      </c>
      <c r="H91" s="69" t="s">
        <v>47</v>
      </c>
      <c r="I91" s="60" t="s">
        <v>47</v>
      </c>
      <c r="J91" s="61" t="s">
        <v>47</v>
      </c>
      <c r="K91" s="9"/>
      <c r="L91" s="9"/>
      <c r="M91" s="9"/>
      <c r="N91" s="9"/>
      <c r="O91" s="9"/>
      <c r="P91" s="9"/>
      <c r="Q91" s="9"/>
      <c r="R91" s="9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24.75" customHeight="1" thickBot="1" x14ac:dyDescent="0.25">
      <c r="A92" s="9"/>
      <c r="B92" s="62">
        <f>E34</f>
        <v>141.38888888888889</v>
      </c>
      <c r="C92" s="190">
        <f>F29</f>
        <v>25</v>
      </c>
      <c r="D92" s="191"/>
      <c r="E92" s="67">
        <f>F46</f>
        <v>0.78145239109151665</v>
      </c>
      <c r="F92" s="63">
        <f>F75</f>
        <v>1.2022344478331025E-2</v>
      </c>
      <c r="G92" s="64">
        <f>F83</f>
        <v>0.78</v>
      </c>
      <c r="H92" s="70">
        <f>SUM(E92:G92)</f>
        <v>1.5734747355698477</v>
      </c>
      <c r="I92" s="72">
        <f>F12</f>
        <v>30</v>
      </c>
      <c r="J92" s="64">
        <f>I92-H92</f>
        <v>28.426525264430154</v>
      </c>
      <c r="K92" s="9"/>
      <c r="L92" s="9"/>
      <c r="M92" s="9"/>
      <c r="N92" s="9"/>
      <c r="O92" s="9"/>
      <c r="P92" s="9"/>
      <c r="Q92" s="9"/>
      <c r="R92" s="9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2.75" customHeight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27.75" customHeight="1" x14ac:dyDescent="0.2">
      <c r="A94" s="9"/>
      <c r="B94" s="186" t="str">
        <f>IF(H92&gt;F23,"Tryktab for stort. Vælg størrer rørdiameter","Tryktab mindre end tilladeligt tryktab. Rørdiameter ok")</f>
        <v>Tryktab mindre end tilladeligt tryktab. Rørdiameter ok</v>
      </c>
      <c r="C94" s="186"/>
      <c r="D94" s="186"/>
      <c r="E94" s="186"/>
      <c r="F94" s="186"/>
      <c r="G94" s="186"/>
      <c r="H94" s="186"/>
      <c r="I94" s="186"/>
      <c r="J94" s="186"/>
      <c r="K94" s="9"/>
      <c r="L94" s="9"/>
      <c r="M94" s="9"/>
      <c r="N94" s="9"/>
      <c r="O94" s="9"/>
      <c r="P94" s="9"/>
      <c r="Q94" s="9"/>
      <c r="R94" s="9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9"/>
      <c r="N95" s="9"/>
      <c r="O95" s="9"/>
      <c r="P95" s="9"/>
      <c r="Q95" s="9"/>
      <c r="R95" s="9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9"/>
      <c r="N96" s="9"/>
      <c r="O96" s="9"/>
      <c r="P96" s="9"/>
      <c r="Q96" s="9"/>
      <c r="R96" s="9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9"/>
      <c r="N97" s="9"/>
      <c r="O97" s="9"/>
      <c r="P97" s="9"/>
      <c r="Q97" s="9"/>
      <c r="R97" s="9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9"/>
      <c r="N98" s="9"/>
      <c r="O98" s="9"/>
      <c r="P98" s="9"/>
      <c r="Q98" s="9"/>
      <c r="R98" s="9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9"/>
      <c r="N99" s="9"/>
      <c r="O99" s="9"/>
      <c r="P99" s="9"/>
      <c r="Q99" s="9"/>
      <c r="R99" s="9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t="12.75" customHeight="1" x14ac:dyDescent="0.2"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7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12.7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2.7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t="12.7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</sheetData>
  <mergeCells count="77">
    <mergeCell ref="B27:F27"/>
    <mergeCell ref="A1:K1"/>
    <mergeCell ref="A3:K3"/>
    <mergeCell ref="A4:K4"/>
    <mergeCell ref="B12:C12"/>
    <mergeCell ref="B13:C13"/>
    <mergeCell ref="B17:C17"/>
    <mergeCell ref="B18:C18"/>
    <mergeCell ref="B19:C19"/>
    <mergeCell ref="B20:C20"/>
    <mergeCell ref="B21:C21"/>
    <mergeCell ref="B23:C23"/>
    <mergeCell ref="B34:C34"/>
    <mergeCell ref="G34:H34"/>
    <mergeCell ref="I34:J34"/>
    <mergeCell ref="B28:C28"/>
    <mergeCell ref="B29:C29"/>
    <mergeCell ref="B30:C30"/>
    <mergeCell ref="B31:C31"/>
    <mergeCell ref="G31:H31"/>
    <mergeCell ref="I31:J31"/>
    <mergeCell ref="G37:H37"/>
    <mergeCell ref="I37:J37"/>
    <mergeCell ref="G32:H32"/>
    <mergeCell ref="I32:J32"/>
    <mergeCell ref="G33:H33"/>
    <mergeCell ref="I33:J33"/>
    <mergeCell ref="B35:C35"/>
    <mergeCell ref="G35:H35"/>
    <mergeCell ref="I35:J35"/>
    <mergeCell ref="G36:H36"/>
    <mergeCell ref="I36:J36"/>
    <mergeCell ref="G38:H38"/>
    <mergeCell ref="I38:J38"/>
    <mergeCell ref="G39:H39"/>
    <mergeCell ref="I39:J39"/>
    <mergeCell ref="G40:H40"/>
    <mergeCell ref="I40:J40"/>
    <mergeCell ref="B54:C54"/>
    <mergeCell ref="G41:J41"/>
    <mergeCell ref="B43:C43"/>
    <mergeCell ref="D43:E43"/>
    <mergeCell ref="B45:C45"/>
    <mergeCell ref="B46:C46"/>
    <mergeCell ref="B50:C50"/>
    <mergeCell ref="K50:K51"/>
    <mergeCell ref="B51:C51"/>
    <mergeCell ref="D51:J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A90:A91"/>
    <mergeCell ref="C90:D90"/>
    <mergeCell ref="C91:D91"/>
    <mergeCell ref="B67:C67"/>
    <mergeCell ref="B68:C68"/>
    <mergeCell ref="B69:C69"/>
    <mergeCell ref="B70:C70"/>
    <mergeCell ref="B71:C71"/>
    <mergeCell ref="B72:C72"/>
    <mergeCell ref="C92:D92"/>
    <mergeCell ref="B94:J94"/>
    <mergeCell ref="H73:I73"/>
    <mergeCell ref="B75:C75"/>
    <mergeCell ref="B81:D81"/>
    <mergeCell ref="B83:C83"/>
  </mergeCells>
  <conditionalFormatting sqref="B94:J94">
    <cfRule type="expression" dxfId="12" priority="1">
      <formula>$H$92&lt;$F$23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19"/>
  <sheetViews>
    <sheetView topLeftCell="A79" workbookViewId="0">
      <selection activeCell="J56" sqref="J56:K56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53.25" customHeight="1" thickBot="1" x14ac:dyDescent="0.25">
      <c r="A1" s="306" t="s">
        <v>121</v>
      </c>
      <c r="B1" s="307"/>
      <c r="C1" s="307"/>
      <c r="D1" s="307"/>
      <c r="E1" s="307"/>
      <c r="F1" s="307"/>
      <c r="G1" s="307"/>
      <c r="H1" s="307"/>
      <c r="I1" s="307"/>
      <c r="J1" s="307"/>
      <c r="K1" s="308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7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209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6.2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thickBot="1" x14ac:dyDescent="0.25">
      <c r="A7" s="32"/>
      <c r="N7" s="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B8" s="43" t="s">
        <v>39</v>
      </c>
      <c r="C8" s="44"/>
      <c r="D8" s="44"/>
      <c r="E8" s="45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B9" s="5" t="s">
        <v>37</v>
      </c>
      <c r="C9" s="149" t="s">
        <v>42</v>
      </c>
      <c r="E9" s="80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2" t="s">
        <v>38</v>
      </c>
      <c r="C10" s="150" t="s">
        <v>220</v>
      </c>
      <c r="E10" s="1" t="s">
        <v>102</v>
      </c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12" t="s">
        <v>149</v>
      </c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/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.75" thickBot="1" x14ac:dyDescent="0.25"/>
    <row r="15" spans="1:256" x14ac:dyDescent="0.2">
      <c r="B15" s="309" t="s">
        <v>152</v>
      </c>
      <c r="C15" s="310"/>
      <c r="D15" s="78" t="s">
        <v>24</v>
      </c>
      <c r="E15" s="78" t="s">
        <v>47</v>
      </c>
      <c r="F15" s="157">
        <v>110</v>
      </c>
      <c r="H15" s="1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B16" s="311" t="s">
        <v>8</v>
      </c>
      <c r="C16" s="312"/>
      <c r="D16" s="4" t="s">
        <v>9</v>
      </c>
      <c r="E16" s="4" t="s">
        <v>10</v>
      </c>
      <c r="F16" s="158">
        <v>15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30" customFormat="1" x14ac:dyDescent="0.2">
      <c r="B17" s="318" t="s">
        <v>16</v>
      </c>
      <c r="C17" s="319"/>
      <c r="D17" s="27" t="s">
        <v>139</v>
      </c>
      <c r="E17" s="172" t="s">
        <v>213</v>
      </c>
      <c r="F17" s="158"/>
      <c r="G17" s="174">
        <f>IF(F17&lt;&gt;0,F17,3600*F18/F33)</f>
        <v>19.23076923076923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customFormat="1" ht="15.75" thickBot="1" x14ac:dyDescent="0.25">
      <c r="B18" s="320"/>
      <c r="C18" s="321"/>
      <c r="D18" s="29" t="s">
        <v>139</v>
      </c>
      <c r="E18" s="173" t="s">
        <v>97</v>
      </c>
      <c r="F18" s="159">
        <v>500</v>
      </c>
      <c r="G18" s="328" t="s">
        <v>214</v>
      </c>
      <c r="H18" s="329"/>
      <c r="I18" s="329"/>
      <c r="J18" s="32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customFormat="1" ht="15.75" thickBo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customFormat="1" ht="15.75" thickBot="1" x14ac:dyDescent="0.25">
      <c r="B20" s="98" t="s">
        <v>133</v>
      </c>
      <c r="C20" s="99"/>
      <c r="D20" s="99"/>
      <c r="E20" s="45"/>
      <c r="F20" s="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customFormat="1" x14ac:dyDescent="0.2">
      <c r="B21" s="208" t="s">
        <v>132</v>
      </c>
      <c r="C21" s="208"/>
      <c r="D21" s="154"/>
      <c r="E21" s="1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customFormat="1" x14ac:dyDescent="0.2">
      <c r="B22" s="208" t="s">
        <v>130</v>
      </c>
      <c r="C22" s="208"/>
      <c r="D22" s="154"/>
      <c r="E22" s="1"/>
      <c r="F22" s="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customFormat="1" x14ac:dyDescent="0.2">
      <c r="B23" s="314" t="s">
        <v>131</v>
      </c>
      <c r="C23" s="314"/>
      <c r="D23" s="155" t="s">
        <v>42</v>
      </c>
      <c r="E23" s="1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customFormat="1" x14ac:dyDescent="0.2">
      <c r="B24" s="180" t="s">
        <v>153</v>
      </c>
      <c r="C24" s="180"/>
      <c r="D24" s="155"/>
      <c r="E24" s="1" t="s">
        <v>154</v>
      </c>
      <c r="F24" s="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customFormat="1" x14ac:dyDescent="0.2">
      <c r="B25" s="100" t="s">
        <v>144</v>
      </c>
      <c r="C25" s="100"/>
      <c r="D25" s="101" t="s">
        <v>145</v>
      </c>
      <c r="E25" s="102">
        <f>IF(D21&lt;&gt;0,25,IF(D22&lt;&gt;0,20,IF(D23&lt;&gt;0,15,D24)))</f>
        <v>15</v>
      </c>
      <c r="F25" s="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customFormat="1" ht="15.75" thickBot="1" x14ac:dyDescent="0.25">
      <c r="B26" s="97"/>
      <c r="C26" s="97"/>
      <c r="D26" s="181"/>
      <c r="E26" s="7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customFormat="1" x14ac:dyDescent="0.2">
      <c r="B27" s="106" t="s">
        <v>172</v>
      </c>
      <c r="C27" s="114" t="s">
        <v>173</v>
      </c>
      <c r="D27" s="101" t="s">
        <v>47</v>
      </c>
      <c r="E27" s="154">
        <v>50</v>
      </c>
      <c r="F27" s="264" t="s">
        <v>211</v>
      </c>
      <c r="G27" s="265"/>
      <c r="H27" s="315" t="s">
        <v>176</v>
      </c>
      <c r="I27" s="316"/>
      <c r="J27" s="316" t="s">
        <v>177</v>
      </c>
      <c r="K27" s="31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customFormat="1" x14ac:dyDescent="0.2">
      <c r="B28" s="97"/>
      <c r="C28" s="97"/>
      <c r="D28" s="181"/>
      <c r="E28" s="7"/>
      <c r="F28" s="8"/>
      <c r="G28" s="1"/>
      <c r="H28" s="256" t="s">
        <v>178</v>
      </c>
      <c r="I28" s="268"/>
      <c r="J28" s="268" t="s">
        <v>181</v>
      </c>
      <c r="K28" s="26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customFormat="1" x14ac:dyDescent="0.2">
      <c r="B29" s="97"/>
      <c r="C29" s="97"/>
      <c r="D29" s="181"/>
      <c r="E29" s="7"/>
      <c r="F29" s="8"/>
      <c r="G29" s="1"/>
      <c r="H29" s="256" t="s">
        <v>179</v>
      </c>
      <c r="I29" s="268"/>
      <c r="J29" s="268" t="s">
        <v>182</v>
      </c>
      <c r="K29" s="2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customFormat="1" ht="15.75" thickBot="1" x14ac:dyDescent="0.25">
      <c r="B30" s="12" t="s">
        <v>44</v>
      </c>
      <c r="C30" s="3"/>
      <c r="D30" s="3"/>
      <c r="E30" s="3"/>
      <c r="F30" s="3"/>
      <c r="G30" s="1"/>
      <c r="H30" s="273" t="s">
        <v>180</v>
      </c>
      <c r="I30" s="274"/>
      <c r="J30" s="274" t="s">
        <v>183</v>
      </c>
      <c r="K30" s="27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customFormat="1" x14ac:dyDescent="0.2"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customFormat="1" x14ac:dyDescent="0.2">
      <c r="B32" s="221" t="s">
        <v>0</v>
      </c>
      <c r="C32" s="222"/>
      <c r="D32" s="4" t="s">
        <v>1</v>
      </c>
      <c r="E32" s="4" t="s">
        <v>2</v>
      </c>
      <c r="F32" s="47">
        <f>IF(C9 &lt;&gt;0,101800,43700)</f>
        <v>101800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256" x14ac:dyDescent="0.2">
      <c r="B33" s="221" t="s">
        <v>40</v>
      </c>
      <c r="C33" s="222"/>
      <c r="D33" s="4" t="s">
        <v>41</v>
      </c>
      <c r="E33" s="4" t="s">
        <v>2</v>
      </c>
      <c r="F33" s="47">
        <f>IF(C9&lt;&gt;0,93600,39500)</f>
        <v>93600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3</v>
      </c>
      <c r="C34" s="222"/>
      <c r="D34" s="4" t="s">
        <v>4</v>
      </c>
      <c r="E34" s="4" t="s">
        <v>5</v>
      </c>
      <c r="F34" s="46">
        <f>IF(C9&lt;&gt;0,1.555,0.61)</f>
        <v>1.5549999999999999</v>
      </c>
      <c r="H34" s="12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6</v>
      </c>
      <c r="C35" s="222"/>
      <c r="D35" s="11" t="s">
        <v>21</v>
      </c>
      <c r="E35" s="4" t="s">
        <v>155</v>
      </c>
      <c r="F35" s="46">
        <f>IF(C9&lt;&gt;0,0.8,1.06)</f>
        <v>0.8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45</v>
      </c>
      <c r="C36" s="222"/>
      <c r="D36" s="17" t="s">
        <v>18</v>
      </c>
      <c r="E36" s="4" t="s">
        <v>43</v>
      </c>
      <c r="F36" s="46">
        <f>IF(C9&lt;&gt;0,2.02,0.82)</f>
        <v>2.02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97"/>
      <c r="C37" s="97"/>
      <c r="D37" s="11"/>
      <c r="E37" s="7"/>
      <c r="F37" s="10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.75" thickBot="1" x14ac:dyDescent="0.25"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24.75" customHeight="1" thickBot="1" x14ac:dyDescent="0.35">
      <c r="A39" s="135" t="s">
        <v>190</v>
      </c>
      <c r="B39" s="131" t="s">
        <v>136</v>
      </c>
      <c r="C39" s="132"/>
      <c r="D39" s="133"/>
      <c r="E39" s="133"/>
      <c r="F39" s="133"/>
      <c r="G39" s="133"/>
      <c r="H39" s="133"/>
      <c r="I39" s="133"/>
      <c r="J39" s="133"/>
      <c r="K39" s="134"/>
      <c r="L39" s="3"/>
      <c r="M39" s="12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B41" s="313" t="s">
        <v>137</v>
      </c>
      <c r="C41" s="313"/>
      <c r="D41" s="107" t="s">
        <v>138</v>
      </c>
      <c r="E41" s="107" t="s">
        <v>143</v>
      </c>
      <c r="F41" s="108">
        <f>G17*(273+F16)/((1+F15/1000)*273)</f>
        <v>18.276941353864427</v>
      </c>
      <c r="G41" s="330" t="s">
        <v>215</v>
      </c>
      <c r="H41" s="331"/>
      <c r="I41" s="331"/>
      <c r="J41" s="33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267" t="s">
        <v>84</v>
      </c>
      <c r="C42" s="267"/>
      <c r="D42" s="111"/>
      <c r="E42" s="109" t="s">
        <v>97</v>
      </c>
      <c r="F42" s="110">
        <f>IF(F18&lt;&gt;0,F18,F33*F17/3600)</f>
        <v>500</v>
      </c>
      <c r="G42" s="330"/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.75" thickBot="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24.75" customHeight="1" thickBot="1" x14ac:dyDescent="0.35">
      <c r="A44" s="135" t="s">
        <v>189</v>
      </c>
      <c r="B44" s="131" t="s">
        <v>140</v>
      </c>
      <c r="C44" s="132"/>
      <c r="D44" s="133"/>
      <c r="E44" s="133"/>
      <c r="F44" s="133"/>
      <c r="G44" s="133"/>
      <c r="H44" s="133"/>
      <c r="I44" s="133"/>
      <c r="J44" s="133"/>
      <c r="K44" s="134"/>
      <c r="L44" s="3"/>
      <c r="M44" s="12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B46" s="327" t="s">
        <v>141</v>
      </c>
      <c r="C46" s="327"/>
      <c r="D46" s="145" t="s">
        <v>142</v>
      </c>
      <c r="E46" s="145" t="s">
        <v>96</v>
      </c>
      <c r="F46" s="146">
        <f>18.8*SQRT(F41/E25)</f>
        <v>20.752192096434605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266" t="s">
        <v>100</v>
      </c>
      <c r="C47" s="266"/>
      <c r="D47" s="126" t="s">
        <v>184</v>
      </c>
      <c r="E47" s="127" t="s">
        <v>99</v>
      </c>
      <c r="F47" s="110">
        <f>$F$41*4/(3600*3.14* ($F$46/1000)^2)</f>
        <v>15.017699259639437</v>
      </c>
      <c r="H47" s="124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thickBot="1" x14ac:dyDescent="0.25">
      <c r="B48" s="142"/>
      <c r="C48" s="142"/>
      <c r="D48" s="143"/>
      <c r="E48" s="144"/>
      <c r="F48" s="124"/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30" customFormat="1" ht="15.75" thickBot="1" x14ac:dyDescent="0.25">
      <c r="B49" s="323" t="s">
        <v>193</v>
      </c>
      <c r="C49" s="324"/>
      <c r="D49" s="324"/>
      <c r="E49" s="32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2:30" customFormat="1" x14ac:dyDescent="0.2">
      <c r="B50" s="332" t="s">
        <v>194</v>
      </c>
      <c r="C50" s="332"/>
      <c r="D50" s="147" t="s">
        <v>78</v>
      </c>
      <c r="E50" s="149">
        <v>12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2:30" customFormat="1" x14ac:dyDescent="0.2">
      <c r="B51" s="208" t="s">
        <v>195</v>
      </c>
      <c r="C51" s="208"/>
      <c r="D51" s="27" t="s">
        <v>208</v>
      </c>
      <c r="E51" s="15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2:30" customFormat="1" x14ac:dyDescent="0.2">
      <c r="B52" s="208" t="s">
        <v>196</v>
      </c>
      <c r="C52" s="208"/>
      <c r="D52" s="27" t="s">
        <v>208</v>
      </c>
      <c r="E52" s="15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2:30" customFormat="1" x14ac:dyDescent="0.2">
      <c r="B53" s="208" t="s">
        <v>197</v>
      </c>
      <c r="C53" s="208"/>
      <c r="D53" s="27" t="s">
        <v>208</v>
      </c>
      <c r="E53" s="15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0" customFormat="1" x14ac:dyDescent="0.2">
      <c r="B54" s="208" t="s">
        <v>198</v>
      </c>
      <c r="C54" s="208"/>
      <c r="D54" s="27" t="s">
        <v>208</v>
      </c>
      <c r="E54" s="15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0" customFormat="1" x14ac:dyDescent="0.2">
      <c r="B55" s="208" t="s">
        <v>199</v>
      </c>
      <c r="C55" s="208"/>
      <c r="D55" s="27" t="s">
        <v>208</v>
      </c>
      <c r="E55" s="15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0" customFormat="1" x14ac:dyDescent="0.2">
      <c r="B56" s="2" t="s">
        <v>200</v>
      </c>
      <c r="C56" s="141"/>
      <c r="D56" s="27" t="s">
        <v>208</v>
      </c>
      <c r="E56" s="150">
        <v>2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30" customFormat="1" x14ac:dyDescent="0.2">
      <c r="B57" s="208" t="s">
        <v>201</v>
      </c>
      <c r="C57" s="208"/>
      <c r="D57" s="27" t="s">
        <v>208</v>
      </c>
      <c r="E57" s="15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30" customFormat="1" x14ac:dyDescent="0.2">
      <c r="B58" s="208" t="s">
        <v>202</v>
      </c>
      <c r="C58" s="208"/>
      <c r="D58" s="27" t="s">
        <v>208</v>
      </c>
      <c r="E58" s="15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30" customFormat="1" x14ac:dyDescent="0.2">
      <c r="B59" s="208" t="s">
        <v>203</v>
      </c>
      <c r="C59" s="208"/>
      <c r="D59" s="27" t="s">
        <v>208</v>
      </c>
      <c r="E59" s="15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30" customFormat="1" x14ac:dyDescent="0.2">
      <c r="B60" s="208" t="s">
        <v>204</v>
      </c>
      <c r="C60" s="208"/>
      <c r="D60" s="27" t="s">
        <v>208</v>
      </c>
      <c r="E60" s="15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30" customFormat="1" x14ac:dyDescent="0.2">
      <c r="B61" s="208" t="s">
        <v>205</v>
      </c>
      <c r="C61" s="208"/>
      <c r="D61" s="27" t="s">
        <v>208</v>
      </c>
      <c r="E61" s="150">
        <v>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30" customFormat="1" x14ac:dyDescent="0.2">
      <c r="B62" s="208" t="s">
        <v>206</v>
      </c>
      <c r="C62" s="208"/>
      <c r="D62" s="27" t="s">
        <v>208</v>
      </c>
      <c r="E62" s="15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30" customFormat="1" x14ac:dyDescent="0.2">
      <c r="B63" s="208" t="s">
        <v>207</v>
      </c>
      <c r="C63" s="208"/>
      <c r="D63" s="27" t="s">
        <v>208</v>
      </c>
      <c r="E63" s="15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30" customFormat="1" x14ac:dyDescent="0.2">
      <c r="B64" s="322"/>
      <c r="C64" s="322"/>
      <c r="D64" s="18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256" x14ac:dyDescent="0.2">
      <c r="B65" s="326" t="s">
        <v>192</v>
      </c>
      <c r="C65" s="326"/>
      <c r="D65" s="139" t="s">
        <v>13</v>
      </c>
      <c r="E65" s="140" t="s">
        <v>78</v>
      </c>
      <c r="F65" s="148">
        <f>E50+(166*E51+70*E52+25*E53+60*E54+40*E55+25*E56+17*E57+16*E58+18*E59+25*E60+100*E61+100*E62+25*E63)*F46/1000</f>
        <v>15.112828814465191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thickBot="1" x14ac:dyDescent="0.25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24.75" customHeight="1" thickBot="1" x14ac:dyDescent="0.35">
      <c r="A67" s="135" t="s">
        <v>188</v>
      </c>
      <c r="B67" s="131" t="s">
        <v>146</v>
      </c>
      <c r="C67" s="136"/>
      <c r="D67" s="137"/>
      <c r="E67" s="137"/>
      <c r="F67" s="137"/>
      <c r="G67" s="137"/>
      <c r="H67" s="137"/>
      <c r="I67" s="137"/>
      <c r="J67" s="137"/>
      <c r="K67" s="138"/>
      <c r="L67" s="3"/>
      <c r="M67" s="12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B69" s="286" t="s">
        <v>147</v>
      </c>
      <c r="C69" s="286"/>
      <c r="D69" s="101" t="s">
        <v>148</v>
      </c>
      <c r="E69" s="101" t="s">
        <v>47</v>
      </c>
      <c r="F69" s="104">
        <f>IF(F18&lt;&gt;0,0.5*F34*F65*F18*3600*E25^2/(F46*F41*F33),0.5*F34*F65*F17*E25^2/(F46*F41))</f>
        <v>134.04722816335314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B73" s="288" t="s">
        <v>150</v>
      </c>
      <c r="C73" s="288"/>
      <c r="D73" s="109" t="s">
        <v>151</v>
      </c>
      <c r="E73" s="120" t="s">
        <v>171</v>
      </c>
      <c r="F73" s="113">
        <f>IF(F17&lt;&gt;0,0.45*100000*F17*F34/(F35*F46),0.45*100000*F18*3600*F34/(F33*F35*F46))</f>
        <v>81056.080164313971</v>
      </c>
      <c r="G73" s="113">
        <f>0.45*100000*F17*F34/(F35*F46)</f>
        <v>0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thickBot="1" x14ac:dyDescent="0.25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B75" s="289" t="s">
        <v>156</v>
      </c>
      <c r="C75" s="290"/>
      <c r="D75" s="2" t="s">
        <v>20</v>
      </c>
      <c r="E75" s="2" t="s">
        <v>116</v>
      </c>
      <c r="F75" s="153">
        <v>0.02</v>
      </c>
      <c r="H75" s="291" t="s">
        <v>169</v>
      </c>
      <c r="I75" s="292"/>
      <c r="J75" s="292"/>
      <c r="K75" s="292"/>
      <c r="L75" s="29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115"/>
      <c r="C76" s="115"/>
      <c r="D76" s="3"/>
      <c r="E76" s="3"/>
      <c r="F76" s="8"/>
      <c r="H76" s="295" t="s">
        <v>33</v>
      </c>
      <c r="I76" s="296"/>
      <c r="J76" s="297"/>
      <c r="K76" s="298" t="s">
        <v>34</v>
      </c>
      <c r="L76" s="299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9"/>
      <c r="B77" s="300" t="s">
        <v>170</v>
      </c>
      <c r="C77" s="300"/>
      <c r="D77" s="3"/>
      <c r="E77" s="3"/>
      <c r="F77" s="3"/>
      <c r="G77" s="3"/>
      <c r="H77" s="301" t="s">
        <v>25</v>
      </c>
      <c r="I77" s="302"/>
      <c r="J77" s="303"/>
      <c r="K77" s="304"/>
      <c r="L77" s="305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2">
      <c r="B78" s="116" t="s">
        <v>157</v>
      </c>
      <c r="C78" s="116"/>
      <c r="D78" s="116"/>
      <c r="E78" s="116"/>
      <c r="F78" s="117">
        <f>IF(AND(AND($F$42&lt;&gt;0,$F$46&lt;&gt;0),$F$15&lt;&gt;0),-4*LOG10($F$75/(3.7*$F$46)+5.1286/($F$73^0.89)),"")</f>
        <v>13.275595504528447</v>
      </c>
      <c r="H78" s="250" t="s">
        <v>26</v>
      </c>
      <c r="I78" s="281"/>
      <c r="J78" s="282"/>
      <c r="K78" s="270">
        <v>0.01</v>
      </c>
      <c r="L78" s="271"/>
    </row>
    <row r="79" spans="1:256" ht="15" customHeight="1" x14ac:dyDescent="0.2">
      <c r="A79" s="3"/>
      <c r="B79" s="116" t="s">
        <v>158</v>
      </c>
      <c r="C79" s="116"/>
      <c r="D79" s="116"/>
      <c r="E79" s="116"/>
      <c r="F79" s="117">
        <f t="shared" ref="F79:F87" si="0">IF(AND(AND($F$42&lt;&gt;0,$F$46&lt;&gt;0),$F$15&lt;&gt;0),-4*LOG10($F$75/(3.7*$F$46)+1.413*F78/($F$73^0.89)),"")</f>
        <v>11.894115011812689</v>
      </c>
      <c r="G79" s="3"/>
      <c r="H79" s="256" t="s">
        <v>27</v>
      </c>
      <c r="I79" s="268"/>
      <c r="J79" s="269"/>
      <c r="K79" s="270">
        <v>0.05</v>
      </c>
      <c r="L79" s="271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customHeight="1" x14ac:dyDescent="0.2">
      <c r="A80" s="3"/>
      <c r="B80" s="116" t="s">
        <v>159</v>
      </c>
      <c r="C80" s="116"/>
      <c r="D80" s="116"/>
      <c r="E80" s="116"/>
      <c r="F80" s="117">
        <f t="shared" si="0"/>
        <v>12.036245067020323</v>
      </c>
      <c r="G80" s="3"/>
      <c r="H80" s="283"/>
      <c r="I80" s="284"/>
      <c r="J80" s="285"/>
      <c r="K80" s="270"/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160</v>
      </c>
      <c r="C81" s="116"/>
      <c r="D81" s="116"/>
      <c r="E81" s="116"/>
      <c r="F81" s="117">
        <f t="shared" si="0"/>
        <v>12.021073979699802</v>
      </c>
      <c r="G81" s="3"/>
      <c r="H81" s="278" t="s">
        <v>28</v>
      </c>
      <c r="I81" s="279"/>
      <c r="J81" s="280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161</v>
      </c>
      <c r="C82" s="116"/>
      <c r="D82" s="116"/>
      <c r="E82" s="116"/>
      <c r="F82" s="117">
        <f t="shared" si="0"/>
        <v>12.022687053005031</v>
      </c>
      <c r="G82" s="3"/>
      <c r="H82" s="256" t="s">
        <v>29</v>
      </c>
      <c r="I82" s="268"/>
      <c r="J82" s="269"/>
      <c r="K82" s="270">
        <v>0.04</v>
      </c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162</v>
      </c>
      <c r="C83" s="116"/>
      <c r="D83" s="116"/>
      <c r="E83" s="116"/>
      <c r="F83" s="117">
        <f t="shared" si="0"/>
        <v>12.022515471014406</v>
      </c>
      <c r="G83" s="3"/>
      <c r="H83" s="256" t="s">
        <v>30</v>
      </c>
      <c r="I83" s="268"/>
      <c r="J83" s="269"/>
      <c r="K83" s="270">
        <v>0.08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163</v>
      </c>
      <c r="C84" s="116"/>
      <c r="D84" s="116"/>
      <c r="E84" s="116"/>
      <c r="F84" s="117">
        <f t="shared" si="0"/>
        <v>12.022533721319695</v>
      </c>
      <c r="G84" s="3"/>
      <c r="H84" s="256" t="s">
        <v>31</v>
      </c>
      <c r="I84" s="268"/>
      <c r="J84" s="269"/>
      <c r="K84" s="270">
        <v>0.4</v>
      </c>
      <c r="L84" s="271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164</v>
      </c>
      <c r="C85" s="116"/>
      <c r="D85" s="116"/>
      <c r="E85" s="116"/>
      <c r="F85" s="117">
        <f t="shared" si="0"/>
        <v>12.022531780118259</v>
      </c>
      <c r="G85" s="3"/>
      <c r="H85" s="256" t="s">
        <v>32</v>
      </c>
      <c r="I85" s="268"/>
      <c r="J85" s="269"/>
      <c r="K85" s="272">
        <v>0.02</v>
      </c>
      <c r="L85" s="23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thickBot="1" x14ac:dyDescent="0.25">
      <c r="A86" s="3"/>
      <c r="B86" s="116" t="s">
        <v>165</v>
      </c>
      <c r="C86" s="116"/>
      <c r="D86" s="116"/>
      <c r="E86" s="116"/>
      <c r="F86" s="117">
        <f t="shared" si="0"/>
        <v>12.022531986594867</v>
      </c>
      <c r="G86" s="3"/>
      <c r="H86" s="273" t="s">
        <v>129</v>
      </c>
      <c r="I86" s="274"/>
      <c r="J86" s="275"/>
      <c r="K86" s="276">
        <v>2E-3</v>
      </c>
      <c r="L86" s="27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1" t="s">
        <v>166</v>
      </c>
      <c r="C87" s="111"/>
      <c r="D87" s="111"/>
      <c r="E87" s="111"/>
      <c r="F87" s="118">
        <f t="shared" si="0"/>
        <v>12.022531964632906</v>
      </c>
      <c r="G87" s="3"/>
      <c r="H87" s="240" t="s">
        <v>35</v>
      </c>
      <c r="I87" s="241"/>
      <c r="J87" s="241"/>
      <c r="K87" s="241"/>
      <c r="L87" s="24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286" t="s">
        <v>167</v>
      </c>
      <c r="C90" s="286"/>
      <c r="D90" s="114" t="s">
        <v>168</v>
      </c>
      <c r="E90" s="101" t="s">
        <v>47</v>
      </c>
      <c r="F90" s="102">
        <f>F69*50/F87^2</f>
        <v>46.369878884478432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63" t="s">
        <v>141</v>
      </c>
      <c r="C91" s="263"/>
      <c r="D91" s="125" t="s">
        <v>142</v>
      </c>
      <c r="E91" s="125" t="s">
        <v>96</v>
      </c>
      <c r="F91" s="168">
        <f>F46</f>
        <v>20.752192096434605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20.25" x14ac:dyDescent="0.2">
      <c r="A93" s="3"/>
      <c r="B93" s="186" t="str">
        <f>IF(F90&gt;=E27,"Tryktab for stort. Gå til pkt 4. nedenfor","Tryktab mindre end tilladeligt tryktab. Rørdiameter ok")</f>
        <v>Tryktab mindre end tilladeligt tryktab. Rørdiameter ok</v>
      </c>
      <c r="C93" s="186"/>
      <c r="D93" s="186"/>
      <c r="E93" s="186"/>
      <c r="F93" s="186"/>
      <c r="G93" s="186"/>
      <c r="H93" s="186"/>
      <c r="I93" s="186"/>
      <c r="J93" s="18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8" x14ac:dyDescent="0.25">
      <c r="A95" s="3"/>
      <c r="B95" s="294" t="s">
        <v>186</v>
      </c>
      <c r="C95" s="294"/>
      <c r="D95" s="294"/>
      <c r="E95" s="294"/>
      <c r="F95" s="294"/>
      <c r="G95" s="294"/>
      <c r="H95" s="294"/>
      <c r="I95" s="294"/>
      <c r="J95" s="29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thickBo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24.75" customHeight="1" thickBot="1" x14ac:dyDescent="0.35">
      <c r="A97" s="135" t="s">
        <v>187</v>
      </c>
      <c r="B97" s="131" t="s">
        <v>191</v>
      </c>
      <c r="C97" s="136"/>
      <c r="D97" s="137"/>
      <c r="E97" s="137"/>
      <c r="F97" s="137"/>
      <c r="G97" s="137"/>
      <c r="H97" s="137"/>
      <c r="I97" s="137"/>
      <c r="J97" s="137"/>
      <c r="K97" s="1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B99" s="179" t="s">
        <v>185</v>
      </c>
      <c r="C99" s="179"/>
      <c r="D99" s="114" t="s">
        <v>15</v>
      </c>
      <c r="E99" s="101" t="s">
        <v>96</v>
      </c>
      <c r="F99" s="104">
        <f>(($F$90/$E$27)^0.2)*$F$46</f>
        <v>20.441707530192634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287" t="s">
        <v>210</v>
      </c>
      <c r="C100" s="287"/>
      <c r="D100" s="128" t="s">
        <v>15</v>
      </c>
      <c r="E100" s="125" t="s">
        <v>96</v>
      </c>
      <c r="F100" s="156">
        <v>25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thickBot="1" x14ac:dyDescent="0.25">
      <c r="G101" s="1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B102" s="267" t="s">
        <v>100</v>
      </c>
      <c r="C102" s="267"/>
      <c r="D102" s="120" t="s">
        <v>184</v>
      </c>
      <c r="E102" s="109" t="s">
        <v>99</v>
      </c>
      <c r="F102" s="129">
        <f>$F$41*4/(3600*3.14* ($F$100/1000)^2)</f>
        <v>10.347879039696771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B105" s="288" t="s">
        <v>150</v>
      </c>
      <c r="C105" s="288"/>
      <c r="D105" s="109" t="s">
        <v>151</v>
      </c>
      <c r="E105" s="120" t="s">
        <v>171</v>
      </c>
      <c r="F105" s="113">
        <f>IF(F18&lt;&gt;0,0.45*100000*$F$18*3600*$F$34/($F$35*F100*F33),0.45*100000*$F$17*$F$34/($F$35*F100))</f>
        <v>67283.653846153844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thickBot="1" x14ac:dyDescent="0.25"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B107" s="289" t="s">
        <v>156</v>
      </c>
      <c r="C107" s="290"/>
      <c r="D107" s="2" t="s">
        <v>20</v>
      </c>
      <c r="E107" s="2" t="s">
        <v>116</v>
      </c>
      <c r="F107" s="153">
        <v>0.02</v>
      </c>
      <c r="H107" s="291" t="s">
        <v>169</v>
      </c>
      <c r="I107" s="292"/>
      <c r="J107" s="292"/>
      <c r="K107" s="292"/>
      <c r="L107" s="2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115"/>
      <c r="C108" s="115"/>
      <c r="D108" s="3"/>
      <c r="E108" s="3"/>
      <c r="F108" s="8"/>
      <c r="H108" s="295" t="s">
        <v>33</v>
      </c>
      <c r="I108" s="296"/>
      <c r="J108" s="297"/>
      <c r="K108" s="298" t="s">
        <v>34</v>
      </c>
      <c r="L108" s="29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9"/>
      <c r="B109" s="300" t="s">
        <v>170</v>
      </c>
      <c r="C109" s="300"/>
      <c r="D109" s="3"/>
      <c r="E109" s="3"/>
      <c r="F109" s="3"/>
      <c r="G109" s="3"/>
      <c r="H109" s="301" t="s">
        <v>25</v>
      </c>
      <c r="I109" s="302"/>
      <c r="J109" s="303"/>
      <c r="K109" s="304"/>
      <c r="L109" s="30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B110" s="116" t="s">
        <v>157</v>
      </c>
      <c r="C110" s="116"/>
      <c r="D110" s="116"/>
      <c r="E110" s="116"/>
      <c r="F110" s="117">
        <f>IF(AND(AND($F$42&lt;&gt;0,$F$100&lt;&gt;0),$F$15&lt;&gt;0),-4*LOG10($F$107/(3.7*$F$100)+5.1286/($F$105^0.89)),"")</f>
        <v>13.292741161927072</v>
      </c>
      <c r="H110" s="250" t="s">
        <v>26</v>
      </c>
      <c r="I110" s="281"/>
      <c r="J110" s="282"/>
      <c r="K110" s="270">
        <v>0.01</v>
      </c>
      <c r="L110" s="27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3"/>
      <c r="B111" s="116" t="s">
        <v>158</v>
      </c>
      <c r="C111" s="116"/>
      <c r="D111" s="116"/>
      <c r="E111" s="116"/>
      <c r="F111" s="117">
        <f t="shared" ref="F111:F118" si="1">IF(AND(AND($F$42&lt;&gt;0,$F$100&lt;&gt;0),$F$15&lt;&gt;0),-4*LOG10($F$107/(3.7*$F$100)+1.413*F110/($F$105^0.89)),"")</f>
        <v>11.735510852731192</v>
      </c>
      <c r="G111" s="3"/>
      <c r="H111" s="256" t="s">
        <v>27</v>
      </c>
      <c r="I111" s="268"/>
      <c r="J111" s="269"/>
      <c r="K111" s="270">
        <v>0.05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159</v>
      </c>
      <c r="C112" s="116"/>
      <c r="D112" s="116"/>
      <c r="E112" s="116"/>
      <c r="F112" s="117">
        <f t="shared" si="1"/>
        <v>11.909678121100688</v>
      </c>
      <c r="G112" s="3"/>
      <c r="H112" s="283"/>
      <c r="I112" s="284"/>
      <c r="J112" s="285"/>
      <c r="K112" s="270"/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160</v>
      </c>
      <c r="C113" s="116"/>
      <c r="D113" s="116"/>
      <c r="E113" s="116"/>
      <c r="F113" s="117">
        <f t="shared" si="1"/>
        <v>11.88930843572186</v>
      </c>
      <c r="G113" s="3"/>
      <c r="H113" s="278" t="s">
        <v>28</v>
      </c>
      <c r="I113" s="279"/>
      <c r="J113" s="280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161</v>
      </c>
      <c r="C114" s="116"/>
      <c r="D114" s="116"/>
      <c r="E114" s="116"/>
      <c r="F114" s="117">
        <f t="shared" si="1"/>
        <v>11.891678469849534</v>
      </c>
      <c r="G114" s="3"/>
      <c r="H114" s="256" t="s">
        <v>29</v>
      </c>
      <c r="I114" s="268"/>
      <c r="J114" s="269"/>
      <c r="K114" s="270">
        <v>0.04</v>
      </c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162</v>
      </c>
      <c r="C115" s="116"/>
      <c r="D115" s="116"/>
      <c r="E115" s="116"/>
      <c r="F115" s="117">
        <f t="shared" si="1"/>
        <v>11.891402547629546</v>
      </c>
      <c r="G115" s="3"/>
      <c r="H115" s="256" t="s">
        <v>30</v>
      </c>
      <c r="I115" s="268"/>
      <c r="J115" s="269"/>
      <c r="K115" s="270">
        <v>0.08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163</v>
      </c>
      <c r="C116" s="116"/>
      <c r="D116" s="116"/>
      <c r="E116" s="116"/>
      <c r="F116" s="117">
        <f t="shared" si="1"/>
        <v>11.891434668571806</v>
      </c>
      <c r="G116" s="3"/>
      <c r="H116" s="256" t="s">
        <v>31</v>
      </c>
      <c r="I116" s="268"/>
      <c r="J116" s="269"/>
      <c r="K116" s="270">
        <v>0.4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164</v>
      </c>
      <c r="C117" s="116"/>
      <c r="D117" s="116"/>
      <c r="E117" s="116"/>
      <c r="F117" s="117">
        <f t="shared" si="1"/>
        <v>11.891430929244978</v>
      </c>
      <c r="G117" s="3"/>
      <c r="H117" s="256" t="s">
        <v>32</v>
      </c>
      <c r="I117" s="268"/>
      <c r="J117" s="269"/>
      <c r="K117" s="272">
        <v>0.02</v>
      </c>
      <c r="L117" s="23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thickBot="1" x14ac:dyDescent="0.25">
      <c r="A118" s="3"/>
      <c r="B118" s="116" t="s">
        <v>165</v>
      </c>
      <c r="C118" s="116"/>
      <c r="D118" s="116"/>
      <c r="E118" s="116"/>
      <c r="F118" s="117">
        <f t="shared" si="1"/>
        <v>11.891431364554494</v>
      </c>
      <c r="G118" s="3"/>
      <c r="H118" s="273" t="s">
        <v>129</v>
      </c>
      <c r="I118" s="274"/>
      <c r="J118" s="275"/>
      <c r="K118" s="276">
        <v>2E-3</v>
      </c>
      <c r="L118" s="27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1" t="s">
        <v>166</v>
      </c>
      <c r="C119" s="111"/>
      <c r="D119" s="111"/>
      <c r="E119" s="111"/>
      <c r="F119" s="118">
        <f>IF(AND(AND($F$42&lt;&gt;0,$F$46&lt;&gt;0),$F$15&lt;&gt;0),-4*LOG10($F$107/(3.7*$F$46)+1.413*F118/($F$73^0.89)),"")</f>
        <v>12.036532800201011</v>
      </c>
      <c r="G119" s="3"/>
      <c r="H119" s="240" t="s">
        <v>35</v>
      </c>
      <c r="I119" s="241"/>
      <c r="J119" s="241"/>
      <c r="K119" s="241"/>
      <c r="L119" s="24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286" t="s">
        <v>167</v>
      </c>
      <c r="C122" s="286"/>
      <c r="D122" s="114" t="s">
        <v>168</v>
      </c>
      <c r="E122" s="101" t="s">
        <v>47</v>
      </c>
      <c r="F122" s="102">
        <f>IF(F18&lt;&gt;0,3.24*F41*F18*3600*F65*F34*1000000/(F33*F119^2*F100^5),3.24*F41*F17*F65*F34*1000000/(F119^2*F100^5))</f>
        <v>18.915528963116458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20.25" x14ac:dyDescent="0.2">
      <c r="A124" s="3"/>
      <c r="B124" s="186" t="str">
        <f>IF(F122&gt;=E27,"Tryktab for stort. Vælg større rørdiameter","Tryktab mindre end tilladeligt tryktab. Rørdiameter ok")</f>
        <v>Tryktab mindre end tilladeligt tryktab. Rørdiameter ok</v>
      </c>
      <c r="C124" s="186"/>
      <c r="D124" s="186"/>
      <c r="E124" s="186"/>
      <c r="F124" s="186"/>
      <c r="G124" s="186"/>
      <c r="H124" s="186"/>
      <c r="I124" s="186"/>
      <c r="J124" s="186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20.25" customHeight="1" x14ac:dyDescent="0.2">
      <c r="A126" s="3"/>
      <c r="B126" s="186" t="str">
        <f>IF(F102&gt;=E25,"Flowhastighed for stor, vælg størrer rørdiameter","Flowhastighed mindre end maksimal tilladelig. Rørdiameter ok")</f>
        <v>Flowhastighed mindre end maksimal tilladelig. Rørdiameter ok</v>
      </c>
      <c r="C126" s="186"/>
      <c r="D126" s="186"/>
      <c r="E126" s="186"/>
      <c r="F126" s="186"/>
      <c r="G126" s="186"/>
      <c r="H126" s="186"/>
      <c r="I126" s="186"/>
      <c r="J126" s="186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</sheetData>
  <mergeCells count="109">
    <mergeCell ref="B21:C21"/>
    <mergeCell ref="B22:C22"/>
    <mergeCell ref="B23:C23"/>
    <mergeCell ref="F27:G27"/>
    <mergeCell ref="H27:I27"/>
    <mergeCell ref="J27:K27"/>
    <mergeCell ref="A1:K1"/>
    <mergeCell ref="A3:K3"/>
    <mergeCell ref="A4:K4"/>
    <mergeCell ref="B15:C15"/>
    <mergeCell ref="B16:C16"/>
    <mergeCell ref="B17:C18"/>
    <mergeCell ref="G18:J18"/>
    <mergeCell ref="B32:C32"/>
    <mergeCell ref="B33:C33"/>
    <mergeCell ref="B34:C34"/>
    <mergeCell ref="B35:C35"/>
    <mergeCell ref="B36:C36"/>
    <mergeCell ref="B41:C41"/>
    <mergeCell ref="H28:I28"/>
    <mergeCell ref="J28:K28"/>
    <mergeCell ref="H29:I29"/>
    <mergeCell ref="J29:K29"/>
    <mergeCell ref="H30:I30"/>
    <mergeCell ref="J30:K30"/>
    <mergeCell ref="B51:C51"/>
    <mergeCell ref="B52:C52"/>
    <mergeCell ref="B53:C53"/>
    <mergeCell ref="B54:C54"/>
    <mergeCell ref="B55:C55"/>
    <mergeCell ref="B57:C57"/>
    <mergeCell ref="G41:J42"/>
    <mergeCell ref="B42:C42"/>
    <mergeCell ref="B46:C46"/>
    <mergeCell ref="B47:C47"/>
    <mergeCell ref="B49:E49"/>
    <mergeCell ref="B50:C50"/>
    <mergeCell ref="B64:C64"/>
    <mergeCell ref="B65:C65"/>
    <mergeCell ref="B69:C69"/>
    <mergeCell ref="B73:C73"/>
    <mergeCell ref="B75:C75"/>
    <mergeCell ref="H75:L75"/>
    <mergeCell ref="B58:C58"/>
    <mergeCell ref="B59:C59"/>
    <mergeCell ref="B60:C60"/>
    <mergeCell ref="B61:C61"/>
    <mergeCell ref="B62:C62"/>
    <mergeCell ref="B63:C63"/>
    <mergeCell ref="H79:J79"/>
    <mergeCell ref="K79:L79"/>
    <mergeCell ref="H80:J80"/>
    <mergeCell ref="K80:L80"/>
    <mergeCell ref="H81:J81"/>
    <mergeCell ref="K81:L81"/>
    <mergeCell ref="H76:J76"/>
    <mergeCell ref="K76:L76"/>
    <mergeCell ref="B77:C77"/>
    <mergeCell ref="H77:J77"/>
    <mergeCell ref="K77:L77"/>
    <mergeCell ref="H78:J78"/>
    <mergeCell ref="K78:L78"/>
    <mergeCell ref="H85:J85"/>
    <mergeCell ref="K85:L85"/>
    <mergeCell ref="H86:J86"/>
    <mergeCell ref="K86:L86"/>
    <mergeCell ref="H87:L87"/>
    <mergeCell ref="B90:C90"/>
    <mergeCell ref="H82:J82"/>
    <mergeCell ref="K82:L82"/>
    <mergeCell ref="H83:J83"/>
    <mergeCell ref="K83:L83"/>
    <mergeCell ref="H84:J84"/>
    <mergeCell ref="K84:L84"/>
    <mergeCell ref="B107:C107"/>
    <mergeCell ref="H107:L107"/>
    <mergeCell ref="H108:J108"/>
    <mergeCell ref="K108:L108"/>
    <mergeCell ref="B109:C109"/>
    <mergeCell ref="H109:J109"/>
    <mergeCell ref="K109:L109"/>
    <mergeCell ref="B91:C91"/>
    <mergeCell ref="B93:J93"/>
    <mergeCell ref="B95:J95"/>
    <mergeCell ref="B100:C100"/>
    <mergeCell ref="B102:C102"/>
    <mergeCell ref="B105:C105"/>
    <mergeCell ref="H113:J113"/>
    <mergeCell ref="K113:L113"/>
    <mergeCell ref="H114:J114"/>
    <mergeCell ref="K114:L114"/>
    <mergeCell ref="H115:J115"/>
    <mergeCell ref="K115:L115"/>
    <mergeCell ref="H110:J110"/>
    <mergeCell ref="K110:L110"/>
    <mergeCell ref="H111:J111"/>
    <mergeCell ref="K111:L111"/>
    <mergeCell ref="H112:J112"/>
    <mergeCell ref="K112:L112"/>
    <mergeCell ref="H119:L119"/>
    <mergeCell ref="B122:C122"/>
    <mergeCell ref="B124:J124"/>
    <mergeCell ref="B126:J126"/>
    <mergeCell ref="H116:J116"/>
    <mergeCell ref="K116:L116"/>
    <mergeCell ref="H117:J117"/>
    <mergeCell ref="K117:L117"/>
    <mergeCell ref="H118:J118"/>
    <mergeCell ref="K118:L118"/>
  </mergeCells>
  <conditionalFormatting sqref="B93:J93">
    <cfRule type="expression" dxfId="11" priority="3">
      <formula>$F$90&lt;$E$27</formula>
    </cfRule>
    <cfRule type="expression" dxfId="10" priority="4">
      <formula>$H$116&lt;$F$25</formula>
    </cfRule>
  </conditionalFormatting>
  <conditionalFormatting sqref="B124:J124">
    <cfRule type="expression" dxfId="9" priority="1">
      <formula>$F$122&lt;$E$27</formula>
    </cfRule>
    <cfRule type="expression" dxfId="8" priority="2">
      <formula>$F$122&lt;$E$27</formula>
    </cfRule>
  </conditionalFormatting>
  <conditionalFormatting sqref="B126:J126">
    <cfRule type="expression" dxfId="7" priority="5">
      <formula>F102&lt;E25</formula>
    </cfRule>
    <cfRule type="expression" dxfId="6" priority="6">
      <formula>"F82&lt;E22"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19"/>
  <sheetViews>
    <sheetView topLeftCell="A85" workbookViewId="0">
      <selection activeCell="F100" sqref="F100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53.25" customHeight="1" thickBot="1" x14ac:dyDescent="0.25">
      <c r="A1" s="306" t="s">
        <v>121</v>
      </c>
      <c r="B1" s="307"/>
      <c r="C1" s="307"/>
      <c r="D1" s="307"/>
      <c r="E1" s="307"/>
      <c r="F1" s="307"/>
      <c r="G1" s="307"/>
      <c r="H1" s="307"/>
      <c r="I1" s="307"/>
      <c r="J1" s="307"/>
      <c r="K1" s="308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7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209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6.2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thickBot="1" x14ac:dyDescent="0.25">
      <c r="A7" s="32"/>
      <c r="N7" s="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B8" s="43" t="s">
        <v>39</v>
      </c>
      <c r="C8" s="44"/>
      <c r="D8" s="44"/>
      <c r="E8" s="45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B9" s="5" t="s">
        <v>37</v>
      </c>
      <c r="C9" s="149" t="s">
        <v>42</v>
      </c>
      <c r="E9" s="80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2" t="s">
        <v>38</v>
      </c>
      <c r="C10" s="150" t="s">
        <v>220</v>
      </c>
      <c r="E10" s="1" t="s">
        <v>102</v>
      </c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12" t="s">
        <v>149</v>
      </c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/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.75" thickBot="1" x14ac:dyDescent="0.25"/>
    <row r="15" spans="1:256" x14ac:dyDescent="0.2">
      <c r="B15" s="309" t="s">
        <v>152</v>
      </c>
      <c r="C15" s="310"/>
      <c r="D15" s="78" t="s">
        <v>24</v>
      </c>
      <c r="E15" s="78" t="s">
        <v>47</v>
      </c>
      <c r="F15" s="157">
        <v>110</v>
      </c>
      <c r="H15" s="1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B16" s="311" t="s">
        <v>8</v>
      </c>
      <c r="C16" s="312"/>
      <c r="D16" s="4" t="s">
        <v>9</v>
      </c>
      <c r="E16" s="4" t="s">
        <v>10</v>
      </c>
      <c r="F16" s="158">
        <v>15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30" customFormat="1" x14ac:dyDescent="0.2">
      <c r="B17" s="318" t="s">
        <v>16</v>
      </c>
      <c r="C17" s="319"/>
      <c r="D17" s="27" t="s">
        <v>139</v>
      </c>
      <c r="E17" s="172" t="s">
        <v>213</v>
      </c>
      <c r="F17" s="158"/>
      <c r="G17" s="174">
        <f>IF(F17&lt;&gt;0,F17,3600*F18/F33)</f>
        <v>7.6923076923076925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customFormat="1" ht="15.75" thickBot="1" x14ac:dyDescent="0.25">
      <c r="B18" s="320"/>
      <c r="C18" s="321"/>
      <c r="D18" s="29" t="s">
        <v>139</v>
      </c>
      <c r="E18" s="173" t="s">
        <v>97</v>
      </c>
      <c r="F18" s="159">
        <v>200</v>
      </c>
      <c r="G18" s="328" t="s">
        <v>214</v>
      </c>
      <c r="H18" s="329"/>
      <c r="I18" s="329"/>
      <c r="J18" s="32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customFormat="1" ht="15.75" thickBo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customFormat="1" ht="15.75" thickBot="1" x14ac:dyDescent="0.25">
      <c r="B20" s="98" t="s">
        <v>133</v>
      </c>
      <c r="C20" s="99"/>
      <c r="D20" s="99"/>
      <c r="E20" s="45"/>
      <c r="F20" s="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customFormat="1" x14ac:dyDescent="0.2">
      <c r="B21" s="208" t="s">
        <v>132</v>
      </c>
      <c r="C21" s="208"/>
      <c r="D21" s="154"/>
      <c r="E21" s="1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customFormat="1" x14ac:dyDescent="0.2">
      <c r="B22" s="208" t="s">
        <v>130</v>
      </c>
      <c r="C22" s="208"/>
      <c r="D22" s="154"/>
      <c r="E22" s="1"/>
      <c r="F22" s="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customFormat="1" x14ac:dyDescent="0.2">
      <c r="B23" s="314" t="s">
        <v>131</v>
      </c>
      <c r="C23" s="314"/>
      <c r="D23" s="155" t="s">
        <v>42</v>
      </c>
      <c r="E23" s="1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customFormat="1" x14ac:dyDescent="0.2">
      <c r="B24" s="180" t="s">
        <v>153</v>
      </c>
      <c r="C24" s="180"/>
      <c r="D24" s="155"/>
      <c r="E24" s="1" t="s">
        <v>154</v>
      </c>
      <c r="F24" s="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customFormat="1" x14ac:dyDescent="0.2">
      <c r="B25" s="100" t="s">
        <v>144</v>
      </c>
      <c r="C25" s="100"/>
      <c r="D25" s="101" t="s">
        <v>145</v>
      </c>
      <c r="E25" s="102">
        <f>IF(D21&lt;&gt;0,25,IF(D22&lt;&gt;0,20,IF(D23&lt;&gt;0,15,D24)))</f>
        <v>15</v>
      </c>
      <c r="F25" s="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customFormat="1" ht="15.75" thickBot="1" x14ac:dyDescent="0.25">
      <c r="B26" s="97"/>
      <c r="C26" s="97"/>
      <c r="D26" s="181"/>
      <c r="E26" s="7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customFormat="1" x14ac:dyDescent="0.2">
      <c r="B27" s="106" t="s">
        <v>172</v>
      </c>
      <c r="C27" s="114" t="s">
        <v>173</v>
      </c>
      <c r="D27" s="101" t="s">
        <v>47</v>
      </c>
      <c r="E27" s="154">
        <v>50</v>
      </c>
      <c r="F27" s="264" t="s">
        <v>211</v>
      </c>
      <c r="G27" s="265"/>
      <c r="H27" s="315" t="s">
        <v>176</v>
      </c>
      <c r="I27" s="316"/>
      <c r="J27" s="316" t="s">
        <v>177</v>
      </c>
      <c r="K27" s="31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customFormat="1" x14ac:dyDescent="0.2">
      <c r="B28" s="97"/>
      <c r="C28" s="97"/>
      <c r="D28" s="181"/>
      <c r="E28" s="7"/>
      <c r="F28" s="8"/>
      <c r="G28" s="1"/>
      <c r="H28" s="256" t="s">
        <v>178</v>
      </c>
      <c r="I28" s="268"/>
      <c r="J28" s="268" t="s">
        <v>181</v>
      </c>
      <c r="K28" s="26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customFormat="1" x14ac:dyDescent="0.2">
      <c r="B29" s="97"/>
      <c r="C29" s="97"/>
      <c r="D29" s="181"/>
      <c r="E29" s="7"/>
      <c r="F29" s="8"/>
      <c r="G29" s="1"/>
      <c r="H29" s="256" t="s">
        <v>179</v>
      </c>
      <c r="I29" s="268"/>
      <c r="J29" s="268" t="s">
        <v>182</v>
      </c>
      <c r="K29" s="2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customFormat="1" ht="15.75" thickBot="1" x14ac:dyDescent="0.25">
      <c r="B30" s="12" t="s">
        <v>44</v>
      </c>
      <c r="C30" s="3"/>
      <c r="D30" s="3"/>
      <c r="E30" s="3"/>
      <c r="F30" s="3"/>
      <c r="G30" s="1"/>
      <c r="H30" s="273" t="s">
        <v>180</v>
      </c>
      <c r="I30" s="274"/>
      <c r="J30" s="274" t="s">
        <v>183</v>
      </c>
      <c r="K30" s="27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customFormat="1" x14ac:dyDescent="0.2"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customFormat="1" x14ac:dyDescent="0.2">
      <c r="B32" s="221" t="s">
        <v>0</v>
      </c>
      <c r="C32" s="222"/>
      <c r="D32" s="4" t="s">
        <v>1</v>
      </c>
      <c r="E32" s="4" t="s">
        <v>2</v>
      </c>
      <c r="F32" s="47">
        <f>IF(C9 &lt;&gt;0,101800,43700)</f>
        <v>101800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256" x14ac:dyDescent="0.2">
      <c r="B33" s="221" t="s">
        <v>40</v>
      </c>
      <c r="C33" s="222"/>
      <c r="D33" s="4" t="s">
        <v>41</v>
      </c>
      <c r="E33" s="4" t="s">
        <v>2</v>
      </c>
      <c r="F33" s="47">
        <f>IF(C9&lt;&gt;0,93600,39500)</f>
        <v>93600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3</v>
      </c>
      <c r="C34" s="222"/>
      <c r="D34" s="4" t="s">
        <v>4</v>
      </c>
      <c r="E34" s="4" t="s">
        <v>5</v>
      </c>
      <c r="F34" s="46">
        <f>IF(C9&lt;&gt;0,1.555,0.61)</f>
        <v>1.5549999999999999</v>
      </c>
      <c r="H34" s="12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6</v>
      </c>
      <c r="C35" s="222"/>
      <c r="D35" s="11" t="s">
        <v>21</v>
      </c>
      <c r="E35" s="4" t="s">
        <v>155</v>
      </c>
      <c r="F35" s="46">
        <f>IF(C9&lt;&gt;0,0.8,1.06)</f>
        <v>0.8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45</v>
      </c>
      <c r="C36" s="222"/>
      <c r="D36" s="17" t="s">
        <v>18</v>
      </c>
      <c r="E36" s="4" t="s">
        <v>43</v>
      </c>
      <c r="F36" s="46">
        <f>IF(C9&lt;&gt;0,2.02,0.82)</f>
        <v>2.02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97"/>
      <c r="C37" s="97"/>
      <c r="D37" s="11"/>
      <c r="E37" s="7"/>
      <c r="F37" s="10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.75" thickBot="1" x14ac:dyDescent="0.25"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24.75" customHeight="1" thickBot="1" x14ac:dyDescent="0.35">
      <c r="A39" s="135" t="s">
        <v>190</v>
      </c>
      <c r="B39" s="131" t="s">
        <v>136</v>
      </c>
      <c r="C39" s="132"/>
      <c r="D39" s="133"/>
      <c r="E39" s="133"/>
      <c r="F39" s="133"/>
      <c r="G39" s="133"/>
      <c r="H39" s="133"/>
      <c r="I39" s="133"/>
      <c r="J39" s="133"/>
      <c r="K39" s="134"/>
      <c r="L39" s="3"/>
      <c r="M39" s="12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B41" s="313" t="s">
        <v>137</v>
      </c>
      <c r="C41" s="313"/>
      <c r="D41" s="107" t="s">
        <v>138</v>
      </c>
      <c r="E41" s="107" t="s">
        <v>143</v>
      </c>
      <c r="F41" s="108">
        <f>G17*(273+F16)/((1+F15/1000)*273)</f>
        <v>7.3107765415457715</v>
      </c>
      <c r="G41" s="330" t="s">
        <v>215</v>
      </c>
      <c r="H41" s="331"/>
      <c r="I41" s="331"/>
      <c r="J41" s="33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267" t="s">
        <v>84</v>
      </c>
      <c r="C42" s="267"/>
      <c r="D42" s="111"/>
      <c r="E42" s="109" t="s">
        <v>97</v>
      </c>
      <c r="F42" s="110">
        <f>IF(F18&lt;&gt;0,F18,F33*F17/3600)</f>
        <v>200</v>
      </c>
      <c r="G42" s="330"/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.75" thickBot="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24.75" customHeight="1" thickBot="1" x14ac:dyDescent="0.35">
      <c r="A44" s="135" t="s">
        <v>189</v>
      </c>
      <c r="B44" s="131" t="s">
        <v>140</v>
      </c>
      <c r="C44" s="132"/>
      <c r="D44" s="133"/>
      <c r="E44" s="133"/>
      <c r="F44" s="133"/>
      <c r="G44" s="133"/>
      <c r="H44" s="133"/>
      <c r="I44" s="133"/>
      <c r="J44" s="133"/>
      <c r="K44" s="134"/>
      <c r="L44" s="3"/>
      <c r="M44" s="12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B46" s="327" t="s">
        <v>141</v>
      </c>
      <c r="C46" s="327"/>
      <c r="D46" s="145" t="s">
        <v>142</v>
      </c>
      <c r="E46" s="145" t="s">
        <v>96</v>
      </c>
      <c r="F46" s="146">
        <f>18.8*SQRT(F41/E25)</f>
        <v>13.124838693215592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266" t="s">
        <v>100</v>
      </c>
      <c r="C47" s="266"/>
      <c r="D47" s="126" t="s">
        <v>184</v>
      </c>
      <c r="E47" s="127" t="s">
        <v>99</v>
      </c>
      <c r="F47" s="110">
        <f>$F$41*4/(3600*3.14* ($F$46/1000)^2)</f>
        <v>15.017699259639439</v>
      </c>
      <c r="H47" s="124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thickBot="1" x14ac:dyDescent="0.25">
      <c r="B48" s="142"/>
      <c r="C48" s="142"/>
      <c r="D48" s="143"/>
      <c r="E48" s="144"/>
      <c r="F48" s="124"/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30" customFormat="1" ht="15.75" thickBot="1" x14ac:dyDescent="0.25">
      <c r="B49" s="323" t="s">
        <v>193</v>
      </c>
      <c r="C49" s="324"/>
      <c r="D49" s="324"/>
      <c r="E49" s="32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2:30" customFormat="1" x14ac:dyDescent="0.2">
      <c r="B50" s="332" t="s">
        <v>194</v>
      </c>
      <c r="C50" s="332"/>
      <c r="D50" s="147" t="s">
        <v>78</v>
      </c>
      <c r="E50" s="149">
        <v>24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2:30" customFormat="1" x14ac:dyDescent="0.2">
      <c r="B51" s="208" t="s">
        <v>195</v>
      </c>
      <c r="C51" s="208"/>
      <c r="D51" s="27" t="s">
        <v>208</v>
      </c>
      <c r="E51" s="15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2:30" customFormat="1" x14ac:dyDescent="0.2">
      <c r="B52" s="208" t="s">
        <v>196</v>
      </c>
      <c r="C52" s="208"/>
      <c r="D52" s="27" t="s">
        <v>208</v>
      </c>
      <c r="E52" s="15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2:30" customFormat="1" x14ac:dyDescent="0.2">
      <c r="B53" s="208" t="s">
        <v>197</v>
      </c>
      <c r="C53" s="208"/>
      <c r="D53" s="27" t="s">
        <v>208</v>
      </c>
      <c r="E53" s="15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0" customFormat="1" x14ac:dyDescent="0.2">
      <c r="B54" s="208" t="s">
        <v>198</v>
      </c>
      <c r="C54" s="208"/>
      <c r="D54" s="27" t="s">
        <v>208</v>
      </c>
      <c r="E54" s="15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0" customFormat="1" x14ac:dyDescent="0.2">
      <c r="B55" s="208" t="s">
        <v>199</v>
      </c>
      <c r="C55" s="208"/>
      <c r="D55" s="27" t="s">
        <v>208</v>
      </c>
      <c r="E55" s="15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0" customFormat="1" x14ac:dyDescent="0.2">
      <c r="B56" s="2" t="s">
        <v>200</v>
      </c>
      <c r="C56" s="141"/>
      <c r="D56" s="27" t="s">
        <v>208</v>
      </c>
      <c r="E56" s="150">
        <v>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30" customFormat="1" x14ac:dyDescent="0.2">
      <c r="B57" s="208" t="s">
        <v>201</v>
      </c>
      <c r="C57" s="208"/>
      <c r="D57" s="27" t="s">
        <v>208</v>
      </c>
      <c r="E57" s="15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30" customFormat="1" x14ac:dyDescent="0.2">
      <c r="B58" s="208" t="s">
        <v>202</v>
      </c>
      <c r="C58" s="208"/>
      <c r="D58" s="27" t="s">
        <v>208</v>
      </c>
      <c r="E58" s="15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30" customFormat="1" x14ac:dyDescent="0.2">
      <c r="B59" s="208" t="s">
        <v>203</v>
      </c>
      <c r="C59" s="208"/>
      <c r="D59" s="27" t="s">
        <v>208</v>
      </c>
      <c r="E59" s="15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30" customFormat="1" x14ac:dyDescent="0.2">
      <c r="B60" s="208" t="s">
        <v>204</v>
      </c>
      <c r="C60" s="208"/>
      <c r="D60" s="27" t="s">
        <v>208</v>
      </c>
      <c r="E60" s="15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30" customFormat="1" x14ac:dyDescent="0.2">
      <c r="B61" s="208" t="s">
        <v>205</v>
      </c>
      <c r="C61" s="208"/>
      <c r="D61" s="27" t="s">
        <v>208</v>
      </c>
      <c r="E61" s="15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30" customFormat="1" x14ac:dyDescent="0.2">
      <c r="B62" s="208" t="s">
        <v>206</v>
      </c>
      <c r="C62" s="208"/>
      <c r="D62" s="27" t="s">
        <v>208</v>
      </c>
      <c r="E62" s="15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30" customFormat="1" x14ac:dyDescent="0.2">
      <c r="B63" s="208" t="s">
        <v>207</v>
      </c>
      <c r="C63" s="208"/>
      <c r="D63" s="27" t="s">
        <v>208</v>
      </c>
      <c r="E63" s="15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30" customFormat="1" x14ac:dyDescent="0.2">
      <c r="B64" s="322"/>
      <c r="C64" s="322"/>
      <c r="D64" s="18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256" x14ac:dyDescent="0.2">
      <c r="B65" s="326" t="s">
        <v>192</v>
      </c>
      <c r="C65" s="326"/>
      <c r="D65" s="139" t="s">
        <v>13</v>
      </c>
      <c r="E65" s="140" t="s">
        <v>78</v>
      </c>
      <c r="F65" s="148">
        <f>E50+(166*E51+70*E52+25*E53+60*E54+40*E55+25*E56+17*E57+16*E58+18*E59+25*E60+100*E61+100*E62+25*E63)*F46/1000</f>
        <v>24.984362901991169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thickBot="1" x14ac:dyDescent="0.25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24.75" customHeight="1" thickBot="1" x14ac:dyDescent="0.35">
      <c r="A67" s="135" t="s">
        <v>188</v>
      </c>
      <c r="B67" s="131" t="s">
        <v>146</v>
      </c>
      <c r="C67" s="136"/>
      <c r="D67" s="137"/>
      <c r="E67" s="137"/>
      <c r="F67" s="137"/>
      <c r="G67" s="137"/>
      <c r="H67" s="137"/>
      <c r="I67" s="137"/>
      <c r="J67" s="137"/>
      <c r="K67" s="138"/>
      <c r="L67" s="3"/>
      <c r="M67" s="12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B69" s="286" t="s">
        <v>147</v>
      </c>
      <c r="C69" s="286"/>
      <c r="D69" s="101" t="s">
        <v>148</v>
      </c>
      <c r="E69" s="101" t="s">
        <v>47</v>
      </c>
      <c r="F69" s="104">
        <f>IF(F18&lt;&gt;0,0.5*F34*F65*F18*3600*E25^2/(F46*F41*F33),0.5*F34*F65*F17*E25^2/(F46*F41))</f>
        <v>350.38891543826509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B73" s="288" t="s">
        <v>150</v>
      </c>
      <c r="C73" s="288"/>
      <c r="D73" s="109" t="s">
        <v>151</v>
      </c>
      <c r="E73" s="120" t="s">
        <v>171</v>
      </c>
      <c r="F73" s="113">
        <f>IF(F17&lt;&gt;0,0.45*100000*F17*F34/(F35*F46),0.45*100000*F18*3600*F34/(F33*F35*F46))</f>
        <v>51264.366304885472</v>
      </c>
      <c r="G73" s="113">
        <f>0.45*100000*F17*F34/(F35*F46)</f>
        <v>0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thickBot="1" x14ac:dyDescent="0.25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B75" s="289" t="s">
        <v>156</v>
      </c>
      <c r="C75" s="290"/>
      <c r="D75" s="2" t="s">
        <v>20</v>
      </c>
      <c r="E75" s="2" t="s">
        <v>116</v>
      </c>
      <c r="F75" s="153">
        <v>0.02</v>
      </c>
      <c r="H75" s="291" t="s">
        <v>169</v>
      </c>
      <c r="I75" s="292"/>
      <c r="J75" s="292"/>
      <c r="K75" s="292"/>
      <c r="L75" s="29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115"/>
      <c r="C76" s="115"/>
      <c r="D76" s="3"/>
      <c r="E76" s="3"/>
      <c r="F76" s="8"/>
      <c r="H76" s="295" t="s">
        <v>33</v>
      </c>
      <c r="I76" s="296"/>
      <c r="J76" s="297"/>
      <c r="K76" s="298" t="s">
        <v>34</v>
      </c>
      <c r="L76" s="299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9"/>
      <c r="B77" s="300" t="s">
        <v>170</v>
      </c>
      <c r="C77" s="300"/>
      <c r="D77" s="3"/>
      <c r="E77" s="3"/>
      <c r="F77" s="3"/>
      <c r="G77" s="3"/>
      <c r="H77" s="301" t="s">
        <v>25</v>
      </c>
      <c r="I77" s="302"/>
      <c r="J77" s="303"/>
      <c r="K77" s="304"/>
      <c r="L77" s="305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2">
      <c r="B78" s="116" t="s">
        <v>157</v>
      </c>
      <c r="C78" s="116"/>
      <c r="D78" s="116"/>
      <c r="E78" s="116"/>
      <c r="F78" s="117">
        <f>IF(AND(AND($F$42&lt;&gt;0,$F$46&lt;&gt;0),$F$15&lt;&gt;0),-4*LOG10($F$75/(3.7*$F$46)+5.1286/($F$73^0.89)),"")</f>
        <v>12.519192721990741</v>
      </c>
      <c r="H78" s="250" t="s">
        <v>26</v>
      </c>
      <c r="I78" s="281"/>
      <c r="J78" s="282"/>
      <c r="K78" s="270">
        <v>0.01</v>
      </c>
      <c r="L78" s="271"/>
    </row>
    <row r="79" spans="1:256" ht="15" customHeight="1" x14ac:dyDescent="0.2">
      <c r="A79" s="3"/>
      <c r="B79" s="116" t="s">
        <v>158</v>
      </c>
      <c r="C79" s="116"/>
      <c r="D79" s="116"/>
      <c r="E79" s="116"/>
      <c r="F79" s="117">
        <f t="shared" ref="F79:F87" si="0">IF(AND(AND($F$42&lt;&gt;0,$F$46&lt;&gt;0),$F$15&lt;&gt;0),-4*LOG10($F$75/(3.7*$F$46)+1.413*F78/($F$73^0.89)),"")</f>
        <v>11.239315292299597</v>
      </c>
      <c r="G79" s="3"/>
      <c r="H79" s="256" t="s">
        <v>27</v>
      </c>
      <c r="I79" s="268"/>
      <c r="J79" s="269"/>
      <c r="K79" s="270">
        <v>0.05</v>
      </c>
      <c r="L79" s="271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customHeight="1" x14ac:dyDescent="0.2">
      <c r="A80" s="3"/>
      <c r="B80" s="116" t="s">
        <v>159</v>
      </c>
      <c r="C80" s="116"/>
      <c r="D80" s="116"/>
      <c r="E80" s="116"/>
      <c r="F80" s="117">
        <f t="shared" si="0"/>
        <v>11.374859400190482</v>
      </c>
      <c r="G80" s="3"/>
      <c r="H80" s="283"/>
      <c r="I80" s="284"/>
      <c r="J80" s="285"/>
      <c r="K80" s="270"/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160</v>
      </c>
      <c r="C81" s="116"/>
      <c r="D81" s="116"/>
      <c r="E81" s="116"/>
      <c r="F81" s="117">
        <f t="shared" si="0"/>
        <v>11.359993660033078</v>
      </c>
      <c r="G81" s="3"/>
      <c r="H81" s="278" t="s">
        <v>28</v>
      </c>
      <c r="I81" s="279"/>
      <c r="J81" s="280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161</v>
      </c>
      <c r="C82" s="116"/>
      <c r="D82" s="116"/>
      <c r="E82" s="116"/>
      <c r="F82" s="117">
        <f t="shared" si="0"/>
        <v>11.361617856448088</v>
      </c>
      <c r="G82" s="3"/>
      <c r="H82" s="256" t="s">
        <v>29</v>
      </c>
      <c r="I82" s="268"/>
      <c r="J82" s="269"/>
      <c r="K82" s="270">
        <v>0.04</v>
      </c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162</v>
      </c>
      <c r="C83" s="116"/>
      <c r="D83" s="116"/>
      <c r="E83" s="116"/>
      <c r="F83" s="117">
        <f t="shared" si="0"/>
        <v>11.361440326589676</v>
      </c>
      <c r="G83" s="3"/>
      <c r="H83" s="256" t="s">
        <v>30</v>
      </c>
      <c r="I83" s="268"/>
      <c r="J83" s="269"/>
      <c r="K83" s="270">
        <v>0.08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163</v>
      </c>
      <c r="C84" s="116"/>
      <c r="D84" s="116"/>
      <c r="E84" s="116"/>
      <c r="F84" s="117">
        <f t="shared" si="0"/>
        <v>11.361459730287391</v>
      </c>
      <c r="G84" s="3"/>
      <c r="H84" s="256" t="s">
        <v>31</v>
      </c>
      <c r="I84" s="268"/>
      <c r="J84" s="269"/>
      <c r="K84" s="270">
        <v>0.4</v>
      </c>
      <c r="L84" s="271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164</v>
      </c>
      <c r="C85" s="116"/>
      <c r="D85" s="116"/>
      <c r="E85" s="116"/>
      <c r="F85" s="117">
        <f t="shared" si="0"/>
        <v>11.3614576094872</v>
      </c>
      <c r="G85" s="3"/>
      <c r="H85" s="256" t="s">
        <v>32</v>
      </c>
      <c r="I85" s="268"/>
      <c r="J85" s="269"/>
      <c r="K85" s="272">
        <v>0.02</v>
      </c>
      <c r="L85" s="23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thickBot="1" x14ac:dyDescent="0.25">
      <c r="A86" s="3"/>
      <c r="B86" s="116" t="s">
        <v>165</v>
      </c>
      <c r="C86" s="116"/>
      <c r="D86" s="116"/>
      <c r="E86" s="116"/>
      <c r="F86" s="117">
        <f t="shared" si="0"/>
        <v>11.361457841287915</v>
      </c>
      <c r="G86" s="3"/>
      <c r="H86" s="273" t="s">
        <v>129</v>
      </c>
      <c r="I86" s="274"/>
      <c r="J86" s="275"/>
      <c r="K86" s="276">
        <v>2E-3</v>
      </c>
      <c r="L86" s="27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1" t="s">
        <v>166</v>
      </c>
      <c r="C87" s="111"/>
      <c r="D87" s="111"/>
      <c r="E87" s="111"/>
      <c r="F87" s="118">
        <f t="shared" si="0"/>
        <v>11.361457815952395</v>
      </c>
      <c r="G87" s="3"/>
      <c r="H87" s="240" t="s">
        <v>35</v>
      </c>
      <c r="I87" s="241"/>
      <c r="J87" s="241"/>
      <c r="K87" s="241"/>
      <c r="L87" s="24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286" t="s">
        <v>167</v>
      </c>
      <c r="C90" s="286"/>
      <c r="D90" s="114" t="s">
        <v>168</v>
      </c>
      <c r="E90" s="101" t="s">
        <v>47</v>
      </c>
      <c r="F90" s="102">
        <f>F69*50/F87^2</f>
        <v>135.7226224334444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63" t="s">
        <v>141</v>
      </c>
      <c r="C91" s="263"/>
      <c r="D91" s="125" t="s">
        <v>142</v>
      </c>
      <c r="E91" s="125" t="s">
        <v>96</v>
      </c>
      <c r="F91" s="168">
        <f>F46</f>
        <v>13.124838693215592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20.25" x14ac:dyDescent="0.2">
      <c r="A93" s="3"/>
      <c r="B93" s="186" t="str">
        <f>IF(F90&gt;=E27,"Tryktab for stort. Gå til pkt 4. nedenfor","Tryktab mindre end tilladeligt tryktab. Rørdiameter ok")</f>
        <v>Tryktab for stort. Gå til pkt 4. nedenfor</v>
      </c>
      <c r="C93" s="186"/>
      <c r="D93" s="186"/>
      <c r="E93" s="186"/>
      <c r="F93" s="186"/>
      <c r="G93" s="186"/>
      <c r="H93" s="186"/>
      <c r="I93" s="186"/>
      <c r="J93" s="18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8" x14ac:dyDescent="0.25">
      <c r="A95" s="3"/>
      <c r="B95" s="294" t="s">
        <v>186</v>
      </c>
      <c r="C95" s="294"/>
      <c r="D95" s="294"/>
      <c r="E95" s="294"/>
      <c r="F95" s="294"/>
      <c r="G95" s="294"/>
      <c r="H95" s="294"/>
      <c r="I95" s="294"/>
      <c r="J95" s="29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thickBo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24.75" customHeight="1" thickBot="1" x14ac:dyDescent="0.35">
      <c r="A97" s="135" t="s">
        <v>187</v>
      </c>
      <c r="B97" s="131" t="s">
        <v>191</v>
      </c>
      <c r="C97" s="136"/>
      <c r="D97" s="137"/>
      <c r="E97" s="137"/>
      <c r="F97" s="137"/>
      <c r="G97" s="137"/>
      <c r="H97" s="137"/>
      <c r="I97" s="137"/>
      <c r="J97" s="137"/>
      <c r="K97" s="1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B99" s="179" t="s">
        <v>185</v>
      </c>
      <c r="C99" s="179"/>
      <c r="D99" s="114" t="s">
        <v>15</v>
      </c>
      <c r="E99" s="101" t="s">
        <v>96</v>
      </c>
      <c r="F99" s="104">
        <f>(($F$90/$E$27)^0.2)*$F$46</f>
        <v>16.026194978980669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287" t="s">
        <v>210</v>
      </c>
      <c r="C100" s="287"/>
      <c r="D100" s="128" t="s">
        <v>15</v>
      </c>
      <c r="E100" s="125" t="s">
        <v>96</v>
      </c>
      <c r="F100" s="156">
        <v>20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thickBot="1" x14ac:dyDescent="0.25">
      <c r="G101" s="1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B102" s="267" t="s">
        <v>100</v>
      </c>
      <c r="C102" s="267"/>
      <c r="D102" s="120" t="s">
        <v>184</v>
      </c>
      <c r="E102" s="109" t="s">
        <v>99</v>
      </c>
      <c r="F102" s="129">
        <f>$F$41*4/(3600*3.14* ($F$100/1000)^2)</f>
        <v>6.4674243998104837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B105" s="288" t="s">
        <v>150</v>
      </c>
      <c r="C105" s="288"/>
      <c r="D105" s="109" t="s">
        <v>151</v>
      </c>
      <c r="E105" s="120" t="s">
        <v>171</v>
      </c>
      <c r="F105" s="113">
        <f>IF(F18&lt;&gt;0,0.45*100000*$F$18*3600*$F$34/($F$35*F100*F33),0.45*100000*$F$17*$F$34/($F$35*F100))</f>
        <v>33641.826923076922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thickBot="1" x14ac:dyDescent="0.25"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B107" s="289" t="s">
        <v>156</v>
      </c>
      <c r="C107" s="290"/>
      <c r="D107" s="2" t="s">
        <v>20</v>
      </c>
      <c r="E107" s="2" t="s">
        <v>116</v>
      </c>
      <c r="F107" s="153">
        <v>0.04</v>
      </c>
      <c r="H107" s="291" t="s">
        <v>169</v>
      </c>
      <c r="I107" s="292"/>
      <c r="J107" s="292"/>
      <c r="K107" s="292"/>
      <c r="L107" s="2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115"/>
      <c r="C108" s="115"/>
      <c r="D108" s="3"/>
      <c r="E108" s="3"/>
      <c r="F108" s="8"/>
      <c r="H108" s="295" t="s">
        <v>33</v>
      </c>
      <c r="I108" s="296"/>
      <c r="J108" s="297"/>
      <c r="K108" s="298" t="s">
        <v>34</v>
      </c>
      <c r="L108" s="29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9"/>
      <c r="B109" s="300" t="s">
        <v>170</v>
      </c>
      <c r="C109" s="300"/>
      <c r="D109" s="3"/>
      <c r="E109" s="3"/>
      <c r="F109" s="3"/>
      <c r="G109" s="3"/>
      <c r="H109" s="301" t="s">
        <v>25</v>
      </c>
      <c r="I109" s="302"/>
      <c r="J109" s="303"/>
      <c r="K109" s="304"/>
      <c r="L109" s="30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B110" s="116" t="s">
        <v>157</v>
      </c>
      <c r="C110" s="116"/>
      <c r="D110" s="116"/>
      <c r="E110" s="116"/>
      <c r="F110" s="117">
        <f>IF(AND(AND($F$42&lt;&gt;0,$F$100&lt;&gt;0),$F$15&lt;&gt;0),-4*LOG10($F$107/(3.7*$F$100)+5.1286/($F$105^0.89)),"")</f>
        <v>11.964989776225307</v>
      </c>
      <c r="H110" s="250" t="s">
        <v>26</v>
      </c>
      <c r="I110" s="281"/>
      <c r="J110" s="282"/>
      <c r="K110" s="270">
        <v>0.01</v>
      </c>
      <c r="L110" s="27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3"/>
      <c r="B111" s="116" t="s">
        <v>158</v>
      </c>
      <c r="C111" s="116"/>
      <c r="D111" s="116"/>
      <c r="E111" s="116"/>
      <c r="F111" s="117">
        <f t="shared" ref="F111:F118" si="1">IF(AND(AND($F$42&lt;&gt;0,$F$100&lt;&gt;0),$F$15&lt;&gt;0),-4*LOG10($F$107/(3.7*$F$100)+1.413*F110/($F$105^0.89)),"")</f>
        <v>10.692799036710388</v>
      </c>
      <c r="G111" s="3"/>
      <c r="H111" s="256" t="s">
        <v>27</v>
      </c>
      <c r="I111" s="268"/>
      <c r="J111" s="269"/>
      <c r="K111" s="270">
        <v>0.05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159</v>
      </c>
      <c r="C112" s="116"/>
      <c r="D112" s="116"/>
      <c r="E112" s="116"/>
      <c r="F112" s="117">
        <f t="shared" si="1"/>
        <v>10.83622250792142</v>
      </c>
      <c r="G112" s="3"/>
      <c r="H112" s="283"/>
      <c r="I112" s="284"/>
      <c r="J112" s="285"/>
      <c r="K112" s="270"/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160</v>
      </c>
      <c r="C113" s="116"/>
      <c r="D113" s="116"/>
      <c r="E113" s="116"/>
      <c r="F113" s="117">
        <f t="shared" si="1"/>
        <v>10.819448337807112</v>
      </c>
      <c r="G113" s="3"/>
      <c r="H113" s="278" t="s">
        <v>28</v>
      </c>
      <c r="I113" s="279"/>
      <c r="J113" s="280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161</v>
      </c>
      <c r="C114" s="116"/>
      <c r="D114" s="116"/>
      <c r="E114" s="116"/>
      <c r="F114" s="117">
        <f t="shared" si="1"/>
        <v>10.821401826653798</v>
      </c>
      <c r="G114" s="3"/>
      <c r="H114" s="256" t="s">
        <v>29</v>
      </c>
      <c r="I114" s="268"/>
      <c r="J114" s="269"/>
      <c r="K114" s="270">
        <v>0.04</v>
      </c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162</v>
      </c>
      <c r="C115" s="116"/>
      <c r="D115" s="116"/>
      <c r="E115" s="116"/>
      <c r="F115" s="117">
        <f t="shared" si="1"/>
        <v>10.821174213903765</v>
      </c>
      <c r="G115" s="3"/>
      <c r="H115" s="256" t="s">
        <v>30</v>
      </c>
      <c r="I115" s="268"/>
      <c r="J115" s="269"/>
      <c r="K115" s="270">
        <v>0.08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163</v>
      </c>
      <c r="C116" s="116"/>
      <c r="D116" s="116"/>
      <c r="E116" s="116"/>
      <c r="F116" s="117">
        <f t="shared" si="1"/>
        <v>10.821200732901094</v>
      </c>
      <c r="G116" s="3"/>
      <c r="H116" s="256" t="s">
        <v>31</v>
      </c>
      <c r="I116" s="268"/>
      <c r="J116" s="269"/>
      <c r="K116" s="270">
        <v>0.4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164</v>
      </c>
      <c r="C117" s="116"/>
      <c r="D117" s="116"/>
      <c r="E117" s="116"/>
      <c r="F117" s="117">
        <f t="shared" si="1"/>
        <v>10.821197643171008</v>
      </c>
      <c r="G117" s="3"/>
      <c r="H117" s="256" t="s">
        <v>32</v>
      </c>
      <c r="I117" s="268"/>
      <c r="J117" s="269"/>
      <c r="K117" s="272">
        <v>0.02</v>
      </c>
      <c r="L117" s="23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thickBot="1" x14ac:dyDescent="0.25">
      <c r="A118" s="3"/>
      <c r="B118" s="116" t="s">
        <v>165</v>
      </c>
      <c r="C118" s="116"/>
      <c r="D118" s="116"/>
      <c r="E118" s="116"/>
      <c r="F118" s="117">
        <f t="shared" si="1"/>
        <v>10.821198003155375</v>
      </c>
      <c r="G118" s="3"/>
      <c r="H118" s="273" t="s">
        <v>129</v>
      </c>
      <c r="I118" s="274"/>
      <c r="J118" s="275"/>
      <c r="K118" s="276">
        <v>2E-3</v>
      </c>
      <c r="L118" s="27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1" t="s">
        <v>166</v>
      </c>
      <c r="C119" s="111"/>
      <c r="D119" s="111"/>
      <c r="E119" s="111"/>
      <c r="F119" s="118">
        <f>IF(AND(AND($F$42&lt;&gt;0,$F$46&lt;&gt;0),$F$15&lt;&gt;0),-4*LOG10($F$107/(3.7*$F$46)+1.413*F118/($F$73^0.89)),"")</f>
        <v>10.972185695690712</v>
      </c>
      <c r="G119" s="3"/>
      <c r="H119" s="240" t="s">
        <v>35</v>
      </c>
      <c r="I119" s="241"/>
      <c r="J119" s="241"/>
      <c r="K119" s="241"/>
      <c r="L119" s="24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286" t="s">
        <v>167</v>
      </c>
      <c r="C122" s="286"/>
      <c r="D122" s="114" t="s">
        <v>168</v>
      </c>
      <c r="E122" s="101" t="s">
        <v>47</v>
      </c>
      <c r="F122" s="102">
        <f>IF(F18&lt;&gt;0,3.24*F41*F18*3600*F65*F34*1000000/(F33*F119^2*F100^5),3.24*F41*F17*F65*F34*1000000/(F119^2*F100^5))</f>
        <v>18.375009143101263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20.25" x14ac:dyDescent="0.2">
      <c r="A124" s="3"/>
      <c r="B124" s="186" t="str">
        <f>IF(F122&gt;=E27,"Tryktab for stort. Vælg større rørdiameter","Tryktab mindre end tilladeligt tryktab. Rørdiameter ok")</f>
        <v>Tryktab mindre end tilladeligt tryktab. Rørdiameter ok</v>
      </c>
      <c r="C124" s="186"/>
      <c r="D124" s="186"/>
      <c r="E124" s="186"/>
      <c r="F124" s="186"/>
      <c r="G124" s="186"/>
      <c r="H124" s="186"/>
      <c r="I124" s="186"/>
      <c r="J124" s="186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20.25" customHeight="1" x14ac:dyDescent="0.2">
      <c r="A126" s="3"/>
      <c r="B126" s="186" t="str">
        <f>IF(F102&gt;=E25,"Flowhastighed for stor, vælg størrer rørdiameter","Flowhastighed mindre end maksimal tilladelig. Rørdiameter ok")</f>
        <v>Flowhastighed mindre end maksimal tilladelig. Rørdiameter ok</v>
      </c>
      <c r="C126" s="186"/>
      <c r="D126" s="186"/>
      <c r="E126" s="186"/>
      <c r="F126" s="186"/>
      <c r="G126" s="186"/>
      <c r="H126" s="186"/>
      <c r="I126" s="186"/>
      <c r="J126" s="186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</sheetData>
  <mergeCells count="109">
    <mergeCell ref="B21:C21"/>
    <mergeCell ref="B22:C22"/>
    <mergeCell ref="B23:C23"/>
    <mergeCell ref="F27:G27"/>
    <mergeCell ref="H27:I27"/>
    <mergeCell ref="J27:K27"/>
    <mergeCell ref="A1:K1"/>
    <mergeCell ref="A3:K3"/>
    <mergeCell ref="A4:K4"/>
    <mergeCell ref="B15:C15"/>
    <mergeCell ref="B16:C16"/>
    <mergeCell ref="B17:C18"/>
    <mergeCell ref="G18:J18"/>
    <mergeCell ref="B32:C32"/>
    <mergeCell ref="B33:C33"/>
    <mergeCell ref="B34:C34"/>
    <mergeCell ref="B35:C35"/>
    <mergeCell ref="B36:C36"/>
    <mergeCell ref="B41:C41"/>
    <mergeCell ref="H28:I28"/>
    <mergeCell ref="J28:K28"/>
    <mergeCell ref="H29:I29"/>
    <mergeCell ref="J29:K29"/>
    <mergeCell ref="H30:I30"/>
    <mergeCell ref="J30:K30"/>
    <mergeCell ref="B51:C51"/>
    <mergeCell ref="B52:C52"/>
    <mergeCell ref="B53:C53"/>
    <mergeCell ref="B54:C54"/>
    <mergeCell ref="B55:C55"/>
    <mergeCell ref="B57:C57"/>
    <mergeCell ref="G41:J42"/>
    <mergeCell ref="B42:C42"/>
    <mergeCell ref="B46:C46"/>
    <mergeCell ref="B47:C47"/>
    <mergeCell ref="B49:E49"/>
    <mergeCell ref="B50:C50"/>
    <mergeCell ref="B64:C64"/>
    <mergeCell ref="B65:C65"/>
    <mergeCell ref="B69:C69"/>
    <mergeCell ref="B73:C73"/>
    <mergeCell ref="B75:C75"/>
    <mergeCell ref="H75:L75"/>
    <mergeCell ref="B58:C58"/>
    <mergeCell ref="B59:C59"/>
    <mergeCell ref="B60:C60"/>
    <mergeCell ref="B61:C61"/>
    <mergeCell ref="B62:C62"/>
    <mergeCell ref="B63:C63"/>
    <mergeCell ref="H79:J79"/>
    <mergeCell ref="K79:L79"/>
    <mergeCell ref="H80:J80"/>
    <mergeCell ref="K80:L80"/>
    <mergeCell ref="H81:J81"/>
    <mergeCell ref="K81:L81"/>
    <mergeCell ref="H76:J76"/>
    <mergeCell ref="K76:L76"/>
    <mergeCell ref="B77:C77"/>
    <mergeCell ref="H77:J77"/>
    <mergeCell ref="K77:L77"/>
    <mergeCell ref="H78:J78"/>
    <mergeCell ref="K78:L78"/>
    <mergeCell ref="H85:J85"/>
    <mergeCell ref="K85:L85"/>
    <mergeCell ref="H86:J86"/>
    <mergeCell ref="K86:L86"/>
    <mergeCell ref="H87:L87"/>
    <mergeCell ref="B90:C90"/>
    <mergeCell ref="H82:J82"/>
    <mergeCell ref="K82:L82"/>
    <mergeCell ref="H83:J83"/>
    <mergeCell ref="K83:L83"/>
    <mergeCell ref="H84:J84"/>
    <mergeCell ref="K84:L84"/>
    <mergeCell ref="B107:C107"/>
    <mergeCell ref="H107:L107"/>
    <mergeCell ref="H108:J108"/>
    <mergeCell ref="K108:L108"/>
    <mergeCell ref="B109:C109"/>
    <mergeCell ref="H109:J109"/>
    <mergeCell ref="K109:L109"/>
    <mergeCell ref="B91:C91"/>
    <mergeCell ref="B93:J93"/>
    <mergeCell ref="B95:J95"/>
    <mergeCell ref="B100:C100"/>
    <mergeCell ref="B102:C102"/>
    <mergeCell ref="B105:C105"/>
    <mergeCell ref="H113:J113"/>
    <mergeCell ref="K113:L113"/>
    <mergeCell ref="H114:J114"/>
    <mergeCell ref="K114:L114"/>
    <mergeCell ref="H115:J115"/>
    <mergeCell ref="K115:L115"/>
    <mergeCell ref="H110:J110"/>
    <mergeCell ref="K110:L110"/>
    <mergeCell ref="H111:J111"/>
    <mergeCell ref="K111:L111"/>
    <mergeCell ref="H112:J112"/>
    <mergeCell ref="K112:L112"/>
    <mergeCell ref="H119:L119"/>
    <mergeCell ref="B122:C122"/>
    <mergeCell ref="B124:J124"/>
    <mergeCell ref="B126:J126"/>
    <mergeCell ref="H116:J116"/>
    <mergeCell ref="K116:L116"/>
    <mergeCell ref="H117:J117"/>
    <mergeCell ref="K117:L117"/>
    <mergeCell ref="H118:J118"/>
    <mergeCell ref="K118:L118"/>
  </mergeCells>
  <conditionalFormatting sqref="B93:J93">
    <cfRule type="expression" dxfId="5" priority="3">
      <formula>$F$90&lt;$E$27</formula>
    </cfRule>
    <cfRule type="expression" dxfId="4" priority="4">
      <formula>$H$116&lt;$F$25</formula>
    </cfRule>
  </conditionalFormatting>
  <conditionalFormatting sqref="B124:J124">
    <cfRule type="expression" dxfId="3" priority="1">
      <formula>$F$122&lt;$E$27</formula>
    </cfRule>
    <cfRule type="expression" dxfId="2" priority="2">
      <formula>$F$122&lt;$E$27</formula>
    </cfRule>
  </conditionalFormatting>
  <conditionalFormatting sqref="B126:J126">
    <cfRule type="expression" dxfId="1" priority="5">
      <formula>F102&lt;E25</formula>
    </cfRule>
    <cfRule type="expression" dxfId="0" priority="6">
      <formula>"F82&lt;E22"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IV219"/>
  <sheetViews>
    <sheetView showGridLines="0" topLeftCell="A22" workbookViewId="0">
      <selection activeCell="Q84" sqref="Q84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53.25" customHeight="1" thickBot="1" x14ac:dyDescent="0.25">
      <c r="A1" s="306" t="s">
        <v>121</v>
      </c>
      <c r="B1" s="307"/>
      <c r="C1" s="307"/>
      <c r="D1" s="307"/>
      <c r="E1" s="307"/>
      <c r="F1" s="307"/>
      <c r="G1" s="307"/>
      <c r="H1" s="307"/>
      <c r="I1" s="307"/>
      <c r="J1" s="307"/>
      <c r="K1" s="308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7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209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6.2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thickBot="1" x14ac:dyDescent="0.25">
      <c r="A7" s="32"/>
      <c r="N7" s="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B8" s="43" t="s">
        <v>39</v>
      </c>
      <c r="C8" s="44"/>
      <c r="D8" s="44"/>
      <c r="E8" s="45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B9" s="5" t="s">
        <v>37</v>
      </c>
      <c r="C9" s="149" t="s">
        <v>42</v>
      </c>
      <c r="E9" s="80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8.75" x14ac:dyDescent="0.3">
      <c r="B10" s="2" t="s">
        <v>38</v>
      </c>
      <c r="C10" s="150" t="s">
        <v>220</v>
      </c>
      <c r="E10" s="1" t="s">
        <v>102</v>
      </c>
      <c r="H10" s="182" t="s">
        <v>221</v>
      </c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12" t="s">
        <v>149</v>
      </c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/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.75" thickBot="1" x14ac:dyDescent="0.25"/>
    <row r="15" spans="1:256" x14ac:dyDescent="0.2">
      <c r="B15" s="309" t="s">
        <v>152</v>
      </c>
      <c r="C15" s="310"/>
      <c r="D15" s="78" t="s">
        <v>24</v>
      </c>
      <c r="E15" s="78" t="s">
        <v>47</v>
      </c>
      <c r="F15" s="157">
        <v>2000</v>
      </c>
      <c r="H15" s="1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B16" s="311" t="s">
        <v>8</v>
      </c>
      <c r="C16" s="312"/>
      <c r="D16" s="4" t="s">
        <v>9</v>
      </c>
      <c r="E16" s="4" t="s">
        <v>10</v>
      </c>
      <c r="F16" s="158">
        <v>15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30" customFormat="1" x14ac:dyDescent="0.2">
      <c r="B17" s="318" t="s">
        <v>16</v>
      </c>
      <c r="C17" s="319"/>
      <c r="D17" s="27" t="s">
        <v>139</v>
      </c>
      <c r="E17" s="172" t="s">
        <v>213</v>
      </c>
      <c r="F17" s="158"/>
      <c r="G17" s="174">
        <f>IF(F17&lt;&gt;0,F17,3600*F18/F33)</f>
        <v>1.9230769230769231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customFormat="1" ht="15.75" thickBot="1" x14ac:dyDescent="0.25">
      <c r="B18" s="320"/>
      <c r="C18" s="321"/>
      <c r="D18" s="29" t="s">
        <v>139</v>
      </c>
      <c r="E18" s="173" t="s">
        <v>97</v>
      </c>
      <c r="F18" s="159">
        <v>50</v>
      </c>
      <c r="G18" s="328" t="s">
        <v>214</v>
      </c>
      <c r="H18" s="329"/>
      <c r="I18" s="329"/>
      <c r="J18" s="32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customFormat="1" ht="15.75" thickBo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customFormat="1" ht="15.75" thickBot="1" x14ac:dyDescent="0.25">
      <c r="B20" s="98" t="s">
        <v>133</v>
      </c>
      <c r="C20" s="99"/>
      <c r="D20" s="99"/>
      <c r="E20" s="45"/>
      <c r="F20" s="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customFormat="1" x14ac:dyDescent="0.2">
      <c r="B21" s="208" t="s">
        <v>132</v>
      </c>
      <c r="C21" s="208"/>
      <c r="D21" s="154"/>
      <c r="E21" s="1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customFormat="1" x14ac:dyDescent="0.2">
      <c r="B22" s="208" t="s">
        <v>130</v>
      </c>
      <c r="C22" s="208"/>
      <c r="D22" s="154"/>
      <c r="E22" s="1"/>
      <c r="F22" s="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customFormat="1" x14ac:dyDescent="0.2">
      <c r="B23" s="314" t="s">
        <v>131</v>
      </c>
      <c r="C23" s="314"/>
      <c r="D23" s="155" t="s">
        <v>42</v>
      </c>
      <c r="E23" s="1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customFormat="1" x14ac:dyDescent="0.2">
      <c r="B24" s="105" t="s">
        <v>153</v>
      </c>
      <c r="C24" s="105"/>
      <c r="D24" s="155"/>
      <c r="E24" s="1" t="s">
        <v>154</v>
      </c>
      <c r="F24" s="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customFormat="1" x14ac:dyDescent="0.2">
      <c r="B25" s="100" t="s">
        <v>144</v>
      </c>
      <c r="C25" s="100"/>
      <c r="D25" s="101" t="s">
        <v>145</v>
      </c>
      <c r="E25" s="102">
        <f>IF(D21&lt;&gt;0,25,IF(D22&lt;&gt;0,20,IF(D23&lt;&gt;0,15,D24)))</f>
        <v>15</v>
      </c>
      <c r="F25" s="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customFormat="1" ht="15.75" thickBot="1" x14ac:dyDescent="0.25">
      <c r="B26" s="97"/>
      <c r="C26" s="97"/>
      <c r="D26" s="13"/>
      <c r="E26" s="7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customFormat="1" x14ac:dyDescent="0.2">
      <c r="B27" s="106" t="s">
        <v>172</v>
      </c>
      <c r="C27" s="114" t="s">
        <v>173</v>
      </c>
      <c r="D27" s="101" t="s">
        <v>47</v>
      </c>
      <c r="E27" s="154">
        <v>400</v>
      </c>
      <c r="F27" s="264" t="s">
        <v>211</v>
      </c>
      <c r="G27" s="265"/>
      <c r="H27" s="315" t="s">
        <v>176</v>
      </c>
      <c r="I27" s="316"/>
      <c r="J27" s="316" t="s">
        <v>177</v>
      </c>
      <c r="K27" s="31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customFormat="1" x14ac:dyDescent="0.2">
      <c r="B28" s="97"/>
      <c r="C28" s="97"/>
      <c r="D28" s="13"/>
      <c r="E28" s="7"/>
      <c r="F28" s="8"/>
      <c r="G28" s="1"/>
      <c r="H28" s="256" t="s">
        <v>178</v>
      </c>
      <c r="I28" s="268"/>
      <c r="J28" s="268" t="s">
        <v>181</v>
      </c>
      <c r="K28" s="26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customFormat="1" x14ac:dyDescent="0.2">
      <c r="B29" s="97"/>
      <c r="C29" s="97"/>
      <c r="D29" s="13"/>
      <c r="E29" s="7"/>
      <c r="F29" s="8"/>
      <c r="G29" s="1"/>
      <c r="H29" s="256" t="s">
        <v>179</v>
      </c>
      <c r="I29" s="268"/>
      <c r="J29" s="268" t="s">
        <v>182</v>
      </c>
      <c r="K29" s="2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customFormat="1" ht="15.75" thickBot="1" x14ac:dyDescent="0.25">
      <c r="B30" s="12" t="s">
        <v>44</v>
      </c>
      <c r="C30" s="3"/>
      <c r="D30" s="3"/>
      <c r="E30" s="3"/>
      <c r="F30" s="3"/>
      <c r="G30" s="1"/>
      <c r="H30" s="273" t="s">
        <v>180</v>
      </c>
      <c r="I30" s="274"/>
      <c r="J30" s="274" t="s">
        <v>183</v>
      </c>
      <c r="K30" s="27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customFormat="1" x14ac:dyDescent="0.2"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customFormat="1" x14ac:dyDescent="0.2">
      <c r="B32" s="221" t="s">
        <v>0</v>
      </c>
      <c r="C32" s="222"/>
      <c r="D32" s="4" t="s">
        <v>1</v>
      </c>
      <c r="E32" s="4" t="s">
        <v>2</v>
      </c>
      <c r="F32" s="47">
        <f>IF(C9 &lt;&gt;0,101800,43700)</f>
        <v>101800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256" x14ac:dyDescent="0.2">
      <c r="B33" s="221" t="s">
        <v>40</v>
      </c>
      <c r="C33" s="222"/>
      <c r="D33" s="4" t="s">
        <v>41</v>
      </c>
      <c r="E33" s="4" t="s">
        <v>2</v>
      </c>
      <c r="F33" s="47">
        <f>IF(C9&lt;&gt;0,93600,39500)</f>
        <v>93600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3</v>
      </c>
      <c r="C34" s="222"/>
      <c r="D34" s="4" t="s">
        <v>4</v>
      </c>
      <c r="E34" s="4" t="s">
        <v>5</v>
      </c>
      <c r="F34" s="46">
        <f>IF(C9&lt;&gt;0,1.555,0.61)</f>
        <v>1.5549999999999999</v>
      </c>
      <c r="H34" s="12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6</v>
      </c>
      <c r="C35" s="222"/>
      <c r="D35" s="11" t="s">
        <v>21</v>
      </c>
      <c r="E35" s="4" t="s">
        <v>155</v>
      </c>
      <c r="F35" s="46">
        <f>IF(C9&lt;&gt;0,0.8,1.06)</f>
        <v>0.8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45</v>
      </c>
      <c r="C36" s="222"/>
      <c r="D36" s="17" t="s">
        <v>18</v>
      </c>
      <c r="E36" s="4" t="s">
        <v>43</v>
      </c>
      <c r="F36" s="46">
        <f>IF(C9&lt;&gt;0,2.02,0.82)</f>
        <v>2.02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97"/>
      <c r="C37" s="97"/>
      <c r="D37" s="11"/>
      <c r="E37" s="7"/>
      <c r="F37" s="10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.75" thickBot="1" x14ac:dyDescent="0.25"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24.75" customHeight="1" thickBot="1" x14ac:dyDescent="0.35">
      <c r="A39" s="135" t="s">
        <v>190</v>
      </c>
      <c r="B39" s="131" t="s">
        <v>136</v>
      </c>
      <c r="C39" s="132"/>
      <c r="D39" s="133"/>
      <c r="E39" s="133"/>
      <c r="F39" s="133"/>
      <c r="G39" s="133"/>
      <c r="H39" s="133"/>
      <c r="I39" s="133"/>
      <c r="J39" s="133"/>
      <c r="K39" s="134"/>
      <c r="L39" s="3"/>
      <c r="M39" s="12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B41" s="313" t="s">
        <v>137</v>
      </c>
      <c r="C41" s="313"/>
      <c r="D41" s="107" t="s">
        <v>138</v>
      </c>
      <c r="E41" s="107" t="s">
        <v>143</v>
      </c>
      <c r="F41" s="108">
        <f>G17*(273+F16)/((1+F15/1000)*273)</f>
        <v>0.67624683009298392</v>
      </c>
      <c r="G41" s="330" t="s">
        <v>215</v>
      </c>
      <c r="H41" s="331"/>
      <c r="I41" s="331"/>
      <c r="J41" s="33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267" t="s">
        <v>84</v>
      </c>
      <c r="C42" s="267"/>
      <c r="D42" s="111"/>
      <c r="E42" s="109" t="s">
        <v>97</v>
      </c>
      <c r="F42" s="110">
        <f>IF(F18&lt;&gt;0,F18,F33*F17/3600)</f>
        <v>50</v>
      </c>
      <c r="G42" s="330"/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.75" thickBot="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24.75" customHeight="1" thickBot="1" x14ac:dyDescent="0.35">
      <c r="A44" s="135" t="s">
        <v>189</v>
      </c>
      <c r="B44" s="131" t="s">
        <v>140</v>
      </c>
      <c r="C44" s="132"/>
      <c r="D44" s="133"/>
      <c r="E44" s="133"/>
      <c r="F44" s="133"/>
      <c r="G44" s="133"/>
      <c r="H44" s="133"/>
      <c r="I44" s="133"/>
      <c r="J44" s="133"/>
      <c r="K44" s="134"/>
      <c r="L44" s="3"/>
      <c r="M44" s="12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B46" s="327" t="s">
        <v>141</v>
      </c>
      <c r="C46" s="327"/>
      <c r="D46" s="145" t="s">
        <v>142</v>
      </c>
      <c r="E46" s="145" t="s">
        <v>96</v>
      </c>
      <c r="F46" s="146">
        <f>18.8*SQRT(F41/E25)</f>
        <v>3.9917638509650026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266" t="s">
        <v>100</v>
      </c>
      <c r="C47" s="266"/>
      <c r="D47" s="126" t="s">
        <v>184</v>
      </c>
      <c r="E47" s="127" t="s">
        <v>99</v>
      </c>
      <c r="F47" s="110">
        <f>$F$41*4/(3600*3.14* ($F$46/1000)^2)</f>
        <v>15.017699259639439</v>
      </c>
      <c r="H47" s="124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thickBot="1" x14ac:dyDescent="0.25">
      <c r="B48" s="142"/>
      <c r="C48" s="142"/>
      <c r="D48" s="143"/>
      <c r="E48" s="144"/>
      <c r="F48" s="124"/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30" customFormat="1" ht="15.75" thickBot="1" x14ac:dyDescent="0.25">
      <c r="B49" s="323" t="s">
        <v>193</v>
      </c>
      <c r="C49" s="324"/>
      <c r="D49" s="324"/>
      <c r="E49" s="32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2:30" customFormat="1" x14ac:dyDescent="0.2">
      <c r="B50" s="332" t="s">
        <v>194</v>
      </c>
      <c r="C50" s="332"/>
      <c r="D50" s="147" t="s">
        <v>78</v>
      </c>
      <c r="E50" s="149">
        <v>14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2:30" customFormat="1" x14ac:dyDescent="0.2">
      <c r="B51" s="208" t="s">
        <v>195</v>
      </c>
      <c r="C51" s="208"/>
      <c r="D51" s="27" t="s">
        <v>208</v>
      </c>
      <c r="E51" s="15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2:30" customFormat="1" x14ac:dyDescent="0.2">
      <c r="B52" s="208" t="s">
        <v>196</v>
      </c>
      <c r="C52" s="208"/>
      <c r="D52" s="27" t="s">
        <v>208</v>
      </c>
      <c r="E52" s="15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2:30" customFormat="1" x14ac:dyDescent="0.2">
      <c r="B53" s="208" t="s">
        <v>197</v>
      </c>
      <c r="C53" s="208"/>
      <c r="D53" s="27" t="s">
        <v>208</v>
      </c>
      <c r="E53" s="15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0" customFormat="1" x14ac:dyDescent="0.2">
      <c r="B54" s="208" t="s">
        <v>198</v>
      </c>
      <c r="C54" s="208"/>
      <c r="D54" s="27" t="s">
        <v>208</v>
      </c>
      <c r="E54" s="15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0" customFormat="1" x14ac:dyDescent="0.2">
      <c r="B55" s="208" t="s">
        <v>199</v>
      </c>
      <c r="C55" s="208"/>
      <c r="D55" s="27" t="s">
        <v>208</v>
      </c>
      <c r="E55" s="15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0" customFormat="1" x14ac:dyDescent="0.2">
      <c r="B56" s="2" t="s">
        <v>200</v>
      </c>
      <c r="C56" s="141"/>
      <c r="D56" s="27" t="s">
        <v>208</v>
      </c>
      <c r="E56" s="15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30" customFormat="1" x14ac:dyDescent="0.2">
      <c r="B57" s="208" t="s">
        <v>201</v>
      </c>
      <c r="C57" s="208"/>
      <c r="D57" s="27" t="s">
        <v>208</v>
      </c>
      <c r="E57" s="15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30" customFormat="1" x14ac:dyDescent="0.2">
      <c r="B58" s="208" t="s">
        <v>202</v>
      </c>
      <c r="C58" s="208"/>
      <c r="D58" s="27" t="s">
        <v>208</v>
      </c>
      <c r="E58" s="15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30" customFormat="1" x14ac:dyDescent="0.2">
      <c r="B59" s="208" t="s">
        <v>203</v>
      </c>
      <c r="C59" s="208"/>
      <c r="D59" s="27" t="s">
        <v>208</v>
      </c>
      <c r="E59" s="15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30" customFormat="1" x14ac:dyDescent="0.2">
      <c r="B60" s="208" t="s">
        <v>204</v>
      </c>
      <c r="C60" s="208"/>
      <c r="D60" s="27" t="s">
        <v>208</v>
      </c>
      <c r="E60" s="15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30" customFormat="1" x14ac:dyDescent="0.2">
      <c r="B61" s="208" t="s">
        <v>205</v>
      </c>
      <c r="C61" s="208"/>
      <c r="D61" s="27" t="s">
        <v>208</v>
      </c>
      <c r="E61" s="15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30" customFormat="1" x14ac:dyDescent="0.2">
      <c r="B62" s="208" t="s">
        <v>206</v>
      </c>
      <c r="C62" s="208"/>
      <c r="D62" s="27" t="s">
        <v>208</v>
      </c>
      <c r="E62" s="15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30" customFormat="1" x14ac:dyDescent="0.2">
      <c r="B63" s="208" t="s">
        <v>207</v>
      </c>
      <c r="C63" s="208"/>
      <c r="D63" s="27" t="s">
        <v>208</v>
      </c>
      <c r="E63" s="15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30" customFormat="1" x14ac:dyDescent="0.2">
      <c r="B64" s="322"/>
      <c r="C64" s="322"/>
      <c r="D64" s="1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256" x14ac:dyDescent="0.2">
      <c r="B65" s="326" t="s">
        <v>192</v>
      </c>
      <c r="C65" s="326"/>
      <c r="D65" s="139" t="s">
        <v>13</v>
      </c>
      <c r="E65" s="140" t="s">
        <v>78</v>
      </c>
      <c r="F65" s="148">
        <f>E50+(166*E51+70*E52+25*E53+60*E54+40*E55+25*E56+17*E57+16*E58+18*E59+25*E60+100*E61+100*E62+25*E63)*F46/1000</f>
        <v>14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thickBot="1" x14ac:dyDescent="0.25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24.75" customHeight="1" thickBot="1" x14ac:dyDescent="0.35">
      <c r="A67" s="135" t="s">
        <v>188</v>
      </c>
      <c r="B67" s="131" t="s">
        <v>146</v>
      </c>
      <c r="C67" s="136"/>
      <c r="D67" s="137"/>
      <c r="E67" s="137"/>
      <c r="F67" s="137"/>
      <c r="G67" s="137"/>
      <c r="H67" s="137"/>
      <c r="I67" s="137"/>
      <c r="J67" s="137"/>
      <c r="K67" s="138"/>
      <c r="L67" s="3"/>
      <c r="M67" s="12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B69" s="286" t="s">
        <v>147</v>
      </c>
      <c r="C69" s="286"/>
      <c r="D69" s="101" t="s">
        <v>148</v>
      </c>
      <c r="E69" s="101" t="s">
        <v>47</v>
      </c>
      <c r="F69" s="104">
        <f>IF(F18&lt;&gt;0,0.5*F34*F65*F18*3600*E25^2/(F46*F41*F33),0.5*F34*F65*F17*E25^2/(F46*F41))</f>
        <v>1744.7673456600633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B73" s="288" t="s">
        <v>150</v>
      </c>
      <c r="C73" s="288"/>
      <c r="D73" s="109" t="s">
        <v>151</v>
      </c>
      <c r="E73" s="120" t="s">
        <v>171</v>
      </c>
      <c r="F73" s="113">
        <f>IF(F17&lt;&gt;0,0.45*100000*F17*F34/(F35*F46),0.45*100000*F18*3600*F34/(F33*F35*F46))</f>
        <v>42139.049526870265</v>
      </c>
      <c r="G73" s="113">
        <f>0.45*100000*F17*F34/(F35*F46)</f>
        <v>0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thickBot="1" x14ac:dyDescent="0.25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B75" s="289" t="s">
        <v>156</v>
      </c>
      <c r="C75" s="290"/>
      <c r="D75" s="2" t="s">
        <v>20</v>
      </c>
      <c r="E75" s="2" t="s">
        <v>116</v>
      </c>
      <c r="F75" s="153">
        <v>2E-3</v>
      </c>
      <c r="H75" s="291" t="s">
        <v>169</v>
      </c>
      <c r="I75" s="292"/>
      <c r="J75" s="292"/>
      <c r="K75" s="292"/>
      <c r="L75" s="29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115"/>
      <c r="C76" s="115"/>
      <c r="D76" s="3"/>
      <c r="E76" s="3"/>
      <c r="F76" s="8"/>
      <c r="H76" s="295" t="s">
        <v>33</v>
      </c>
      <c r="I76" s="296"/>
      <c r="J76" s="297"/>
      <c r="K76" s="298" t="s">
        <v>34</v>
      </c>
      <c r="L76" s="299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9"/>
      <c r="B77" s="300" t="s">
        <v>170</v>
      </c>
      <c r="C77" s="300"/>
      <c r="D77" s="3"/>
      <c r="E77" s="3"/>
      <c r="F77" s="3"/>
      <c r="G77" s="3"/>
      <c r="H77" s="301" t="s">
        <v>25</v>
      </c>
      <c r="I77" s="302"/>
      <c r="J77" s="303"/>
      <c r="K77" s="304"/>
      <c r="L77" s="305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2">
      <c r="B78" s="116" t="s">
        <v>157</v>
      </c>
      <c r="C78" s="116"/>
      <c r="D78" s="116"/>
      <c r="E78" s="116"/>
      <c r="F78" s="117">
        <f>IF(AND(AND($F$42&lt;&gt;0,$F$46&lt;&gt;0),$F$15&lt;&gt;0),-4*LOG10($F$75/(3.7*$F$46)+5.1286/($F$73^0.89)),"")</f>
        <v>13.109183073067763</v>
      </c>
      <c r="H78" s="250" t="s">
        <v>26</v>
      </c>
      <c r="I78" s="281"/>
      <c r="J78" s="282"/>
      <c r="K78" s="270">
        <v>0.01</v>
      </c>
      <c r="L78" s="271"/>
    </row>
    <row r="79" spans="1:256" ht="15" customHeight="1" x14ac:dyDescent="0.2">
      <c r="A79" s="3"/>
      <c r="B79" s="116" t="s">
        <v>158</v>
      </c>
      <c r="C79" s="116"/>
      <c r="D79" s="116"/>
      <c r="E79" s="116"/>
      <c r="F79" s="117">
        <f t="shared" ref="F79:F87" si="0">IF(AND(AND($F$42&lt;&gt;0,$F$46&lt;&gt;0),$F$15&lt;&gt;0),-4*LOG10($F$75/(3.7*$F$46)+1.413*F78/($F$73^0.89)),"")</f>
        <v>11.234587762653396</v>
      </c>
      <c r="G79" s="3"/>
      <c r="H79" s="256" t="s">
        <v>27</v>
      </c>
      <c r="I79" s="268"/>
      <c r="J79" s="269"/>
      <c r="K79" s="270">
        <v>0.05</v>
      </c>
      <c r="L79" s="271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customHeight="1" x14ac:dyDescent="0.2">
      <c r="A80" s="3"/>
      <c r="B80" s="116" t="s">
        <v>159</v>
      </c>
      <c r="C80" s="116"/>
      <c r="D80" s="116"/>
      <c r="E80" s="116"/>
      <c r="F80" s="117">
        <f t="shared" si="0"/>
        <v>11.477579489829564</v>
      </c>
      <c r="G80" s="3"/>
      <c r="H80" s="283"/>
      <c r="I80" s="284"/>
      <c r="J80" s="285"/>
      <c r="K80" s="270"/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160</v>
      </c>
      <c r="C81" s="116"/>
      <c r="D81" s="116"/>
      <c r="E81" s="116"/>
      <c r="F81" s="117">
        <f t="shared" si="0"/>
        <v>11.444097486311987</v>
      </c>
      <c r="G81" s="3"/>
      <c r="H81" s="278" t="s">
        <v>28</v>
      </c>
      <c r="I81" s="279"/>
      <c r="J81" s="280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161</v>
      </c>
      <c r="C82" s="116"/>
      <c r="D82" s="116"/>
      <c r="E82" s="116"/>
      <c r="F82" s="117">
        <f t="shared" si="0"/>
        <v>11.44867283979786</v>
      </c>
      <c r="G82" s="3"/>
      <c r="H82" s="256" t="s">
        <v>29</v>
      </c>
      <c r="I82" s="268"/>
      <c r="J82" s="269"/>
      <c r="K82" s="270">
        <v>0.04</v>
      </c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162</v>
      </c>
      <c r="C83" s="116"/>
      <c r="D83" s="116"/>
      <c r="E83" s="116"/>
      <c r="F83" s="117">
        <f t="shared" si="0"/>
        <v>11.448046901293523</v>
      </c>
      <c r="G83" s="3"/>
      <c r="H83" s="256" t="s">
        <v>30</v>
      </c>
      <c r="I83" s="268"/>
      <c r="J83" s="269"/>
      <c r="K83" s="270">
        <v>0.08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163</v>
      </c>
      <c r="C84" s="116"/>
      <c r="D84" s="116"/>
      <c r="E84" s="116"/>
      <c r="F84" s="117">
        <f t="shared" si="0"/>
        <v>11.448132520489519</v>
      </c>
      <c r="G84" s="3"/>
      <c r="H84" s="256" t="s">
        <v>31</v>
      </c>
      <c r="I84" s="268"/>
      <c r="J84" s="269"/>
      <c r="K84" s="270">
        <v>0.4</v>
      </c>
      <c r="L84" s="271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164</v>
      </c>
      <c r="C85" s="116"/>
      <c r="D85" s="116"/>
      <c r="E85" s="116"/>
      <c r="F85" s="117">
        <f t="shared" si="0"/>
        <v>11.448120808791622</v>
      </c>
      <c r="G85" s="3"/>
      <c r="H85" s="256" t="s">
        <v>32</v>
      </c>
      <c r="I85" s="268"/>
      <c r="J85" s="269"/>
      <c r="K85" s="272">
        <v>0.02</v>
      </c>
      <c r="L85" s="23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thickBot="1" x14ac:dyDescent="0.25">
      <c r="A86" s="3"/>
      <c r="B86" s="116" t="s">
        <v>165</v>
      </c>
      <c r="C86" s="116"/>
      <c r="D86" s="116"/>
      <c r="E86" s="116"/>
      <c r="F86" s="117">
        <f t="shared" si="0"/>
        <v>11.448122410809335</v>
      </c>
      <c r="G86" s="3"/>
      <c r="H86" s="273" t="s">
        <v>129</v>
      </c>
      <c r="I86" s="274"/>
      <c r="J86" s="275"/>
      <c r="K86" s="276">
        <v>2E-3</v>
      </c>
      <c r="L86" s="27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1" t="s">
        <v>166</v>
      </c>
      <c r="C87" s="111"/>
      <c r="D87" s="111"/>
      <c r="E87" s="111"/>
      <c r="F87" s="118">
        <f t="shared" si="0"/>
        <v>11.448122191672724</v>
      </c>
      <c r="G87" s="3"/>
      <c r="H87" s="240" t="s">
        <v>35</v>
      </c>
      <c r="I87" s="241"/>
      <c r="J87" s="241"/>
      <c r="K87" s="241"/>
      <c r="L87" s="24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286" t="s">
        <v>167</v>
      </c>
      <c r="C90" s="286"/>
      <c r="D90" s="114" t="s">
        <v>168</v>
      </c>
      <c r="E90" s="101" t="s">
        <v>47</v>
      </c>
      <c r="F90" s="102">
        <f>F69*50/F87^2</f>
        <v>665.63939387163157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63" t="s">
        <v>141</v>
      </c>
      <c r="C91" s="263"/>
      <c r="D91" s="125" t="s">
        <v>142</v>
      </c>
      <c r="E91" s="125" t="s">
        <v>96</v>
      </c>
      <c r="F91" s="168">
        <f>F46</f>
        <v>3.9917638509650026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20.25" x14ac:dyDescent="0.2">
      <c r="A93" s="3"/>
      <c r="B93" s="186" t="str">
        <f>IF(F90&gt;=E27,"Tryktab for stort. Gå til pkt 4. nedenfor","Tryktab mindre end tilladeligt tryktab. Rørdiameter ok")</f>
        <v>Tryktab for stort. Gå til pkt 4. nedenfor</v>
      </c>
      <c r="C93" s="186"/>
      <c r="D93" s="186"/>
      <c r="E93" s="186"/>
      <c r="F93" s="186"/>
      <c r="G93" s="186"/>
      <c r="H93" s="186"/>
      <c r="I93" s="186"/>
      <c r="J93" s="18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8" x14ac:dyDescent="0.25">
      <c r="A95" s="3"/>
      <c r="B95" s="294" t="s">
        <v>186</v>
      </c>
      <c r="C95" s="294"/>
      <c r="D95" s="294"/>
      <c r="E95" s="294"/>
      <c r="F95" s="294"/>
      <c r="G95" s="294"/>
      <c r="H95" s="294"/>
      <c r="I95" s="294"/>
      <c r="J95" s="29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thickBo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24.75" customHeight="1" thickBot="1" x14ac:dyDescent="0.35">
      <c r="A97" s="135" t="s">
        <v>187</v>
      </c>
      <c r="B97" s="131" t="s">
        <v>191</v>
      </c>
      <c r="C97" s="136"/>
      <c r="D97" s="137"/>
      <c r="E97" s="137"/>
      <c r="F97" s="137"/>
      <c r="G97" s="137"/>
      <c r="H97" s="137"/>
      <c r="I97" s="137"/>
      <c r="J97" s="137"/>
      <c r="K97" s="1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B99" s="112" t="s">
        <v>185</v>
      </c>
      <c r="C99" s="112"/>
      <c r="D99" s="114" t="s">
        <v>15</v>
      </c>
      <c r="E99" s="101" t="s">
        <v>96</v>
      </c>
      <c r="F99" s="104">
        <f>(($F$90/$E$27)^0.2)*$F$46</f>
        <v>4.4197799348734295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287" t="s">
        <v>210</v>
      </c>
      <c r="C100" s="287"/>
      <c r="D100" s="128" t="s">
        <v>15</v>
      </c>
      <c r="E100" s="125" t="s">
        <v>96</v>
      </c>
      <c r="F100" s="156">
        <v>25.6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thickBot="1" x14ac:dyDescent="0.25">
      <c r="G101" s="1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B102" s="267" t="s">
        <v>100</v>
      </c>
      <c r="C102" s="267"/>
      <c r="D102" s="120" t="s">
        <v>184</v>
      </c>
      <c r="E102" s="109" t="s">
        <v>99</v>
      </c>
      <c r="F102" s="129">
        <f>$F$41*4/(3600*3.14* ($F$100/1000)^2)</f>
        <v>0.36513473936918323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B105" s="288" t="s">
        <v>150</v>
      </c>
      <c r="C105" s="288"/>
      <c r="D105" s="109" t="s">
        <v>151</v>
      </c>
      <c r="E105" s="120" t="s">
        <v>171</v>
      </c>
      <c r="F105" s="113">
        <f>IF(F18&lt;&gt;0,0.45*100000*$F$18*3600*$F$34/($F$35*F100*F33),0.45*100000*$F$17*$F$34/($F$35*F100))</f>
        <v>6570.6693209134601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thickBot="1" x14ac:dyDescent="0.25"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B107" s="289" t="s">
        <v>156</v>
      </c>
      <c r="C107" s="290"/>
      <c r="D107" s="2" t="s">
        <v>20</v>
      </c>
      <c r="E107" s="2" t="s">
        <v>116</v>
      </c>
      <c r="F107" s="153">
        <v>0.04</v>
      </c>
      <c r="H107" s="291" t="s">
        <v>169</v>
      </c>
      <c r="I107" s="292"/>
      <c r="J107" s="292"/>
      <c r="K107" s="292"/>
      <c r="L107" s="2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115"/>
      <c r="C108" s="115"/>
      <c r="D108" s="3"/>
      <c r="E108" s="3"/>
      <c r="F108" s="8"/>
      <c r="H108" s="295" t="s">
        <v>33</v>
      </c>
      <c r="I108" s="296"/>
      <c r="J108" s="297"/>
      <c r="K108" s="298" t="s">
        <v>34</v>
      </c>
      <c r="L108" s="29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9"/>
      <c r="B109" s="300" t="s">
        <v>170</v>
      </c>
      <c r="C109" s="300"/>
      <c r="D109" s="3"/>
      <c r="E109" s="3"/>
      <c r="F109" s="3"/>
      <c r="G109" s="3"/>
      <c r="H109" s="301" t="s">
        <v>25</v>
      </c>
      <c r="I109" s="302"/>
      <c r="J109" s="303"/>
      <c r="K109" s="304"/>
      <c r="L109" s="30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B110" s="116" t="s">
        <v>157</v>
      </c>
      <c r="C110" s="116"/>
      <c r="D110" s="116"/>
      <c r="E110" s="116"/>
      <c r="F110" s="117">
        <f>IF(AND(AND($F$42&lt;&gt;0,$F$100&lt;&gt;0),$F$15&lt;&gt;0),-4*LOG10($F$107/(3.7*$F$100)+5.1286/($F$105^0.89)),"")</f>
        <v>10.425698457318168</v>
      </c>
      <c r="H110" s="250" t="s">
        <v>26</v>
      </c>
      <c r="I110" s="281"/>
      <c r="J110" s="282"/>
      <c r="K110" s="270">
        <v>0.01</v>
      </c>
      <c r="L110" s="27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3"/>
      <c r="B111" s="116" t="s">
        <v>158</v>
      </c>
      <c r="C111" s="116"/>
      <c r="D111" s="116"/>
      <c r="E111" s="116"/>
      <c r="F111" s="117">
        <f t="shared" ref="F111:F118" si="1">IF(AND(AND($F$42&lt;&gt;0,$F$100&lt;&gt;0),$F$15&lt;&gt;0),-4*LOG10($F$107/(3.7*$F$100)+1.413*F110/($F$105^0.89)),"")</f>
        <v>8.7975352240088753</v>
      </c>
      <c r="G111" s="3"/>
      <c r="H111" s="256" t="s">
        <v>27</v>
      </c>
      <c r="I111" s="268"/>
      <c r="J111" s="269"/>
      <c r="K111" s="270">
        <v>0.05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159</v>
      </c>
      <c r="C112" s="116"/>
      <c r="D112" s="116"/>
      <c r="E112" s="116"/>
      <c r="F112" s="117">
        <f t="shared" si="1"/>
        <v>9.0711562356627464</v>
      </c>
      <c r="G112" s="3"/>
      <c r="H112" s="283"/>
      <c r="I112" s="284"/>
      <c r="J112" s="285"/>
      <c r="K112" s="270"/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160</v>
      </c>
      <c r="C113" s="116"/>
      <c r="D113" s="116"/>
      <c r="E113" s="116"/>
      <c r="F113" s="117">
        <f t="shared" si="1"/>
        <v>9.0220541214334453</v>
      </c>
      <c r="G113" s="3"/>
      <c r="H113" s="278" t="s">
        <v>28</v>
      </c>
      <c r="I113" s="279"/>
      <c r="J113" s="280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161</v>
      </c>
      <c r="C114" s="116"/>
      <c r="D114" s="116"/>
      <c r="E114" s="116"/>
      <c r="F114" s="117">
        <f t="shared" si="1"/>
        <v>9.030764076662761</v>
      </c>
      <c r="G114" s="3"/>
      <c r="H114" s="256" t="s">
        <v>29</v>
      </c>
      <c r="I114" s="268"/>
      <c r="J114" s="269"/>
      <c r="K114" s="270">
        <v>0.04</v>
      </c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162</v>
      </c>
      <c r="C115" s="116"/>
      <c r="D115" s="116"/>
      <c r="E115" s="116"/>
      <c r="F115" s="117">
        <f t="shared" si="1"/>
        <v>9.0292158757724899</v>
      </c>
      <c r="G115" s="3"/>
      <c r="H115" s="256" t="s">
        <v>30</v>
      </c>
      <c r="I115" s="268"/>
      <c r="J115" s="269"/>
      <c r="K115" s="270">
        <v>0.08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163</v>
      </c>
      <c r="C116" s="116"/>
      <c r="D116" s="116"/>
      <c r="E116" s="116"/>
      <c r="F116" s="117">
        <f t="shared" si="1"/>
        <v>9.0294909687971838</v>
      </c>
      <c r="G116" s="3"/>
      <c r="H116" s="256" t="s">
        <v>31</v>
      </c>
      <c r="I116" s="268"/>
      <c r="J116" s="269"/>
      <c r="K116" s="270">
        <v>0.4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164</v>
      </c>
      <c r="C117" s="116"/>
      <c r="D117" s="116"/>
      <c r="E117" s="116"/>
      <c r="F117" s="117">
        <f t="shared" si="1"/>
        <v>9.0294420855417208</v>
      </c>
      <c r="G117" s="3"/>
      <c r="H117" s="256" t="s">
        <v>32</v>
      </c>
      <c r="I117" s="268"/>
      <c r="J117" s="269"/>
      <c r="K117" s="272">
        <v>0.02</v>
      </c>
      <c r="L117" s="23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thickBot="1" x14ac:dyDescent="0.25">
      <c r="A118" s="3"/>
      <c r="B118" s="116" t="s">
        <v>165</v>
      </c>
      <c r="C118" s="116"/>
      <c r="D118" s="116"/>
      <c r="E118" s="116"/>
      <c r="F118" s="117">
        <f t="shared" si="1"/>
        <v>9.0294507718579986</v>
      </c>
      <c r="G118" s="3"/>
      <c r="H118" s="273" t="s">
        <v>129</v>
      </c>
      <c r="I118" s="274"/>
      <c r="J118" s="275"/>
      <c r="K118" s="276">
        <v>2E-3</v>
      </c>
      <c r="L118" s="27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1" t="s">
        <v>166</v>
      </c>
      <c r="C119" s="111"/>
      <c r="D119" s="111"/>
      <c r="E119" s="111"/>
      <c r="F119" s="118">
        <f>IF(AND(AND($F$42&lt;&gt;0,$F$46&lt;&gt;0),$F$15&lt;&gt;0),-4*LOG10($F$107/(3.7*$F$46)+1.413*F118/($F$73^0.89)),"")</f>
        <v>9.734182573415902</v>
      </c>
      <c r="G119" s="3"/>
      <c r="H119" s="240" t="s">
        <v>35</v>
      </c>
      <c r="I119" s="241"/>
      <c r="J119" s="241"/>
      <c r="K119" s="241"/>
      <c r="L119" s="24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286" t="s">
        <v>167</v>
      </c>
      <c r="C122" s="286"/>
      <c r="D122" s="114" t="s">
        <v>168</v>
      </c>
      <c r="E122" s="101" t="s">
        <v>47</v>
      </c>
      <c r="F122" s="102">
        <f>IF(F18&lt;&gt;0,3.24*F41*F18*3600*F65*F34*1000000/(F33*F119^2*F100^5),3.24*F41*F17*F65*F34*1000000/(F119^2*F100^5))</f>
        <v>8.8045372718706438E-2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20.25" x14ac:dyDescent="0.2">
      <c r="A124" s="3"/>
      <c r="B124" s="186" t="str">
        <f>IF(F122&gt;=E27,"Tryktab for stort. Vælg større rørdiameter","Tryktab mindre end tilladeligt tryktab. Rørdiameter ok")</f>
        <v>Tryktab mindre end tilladeligt tryktab. Rørdiameter ok</v>
      </c>
      <c r="C124" s="186"/>
      <c r="D124" s="186"/>
      <c r="E124" s="186"/>
      <c r="F124" s="186"/>
      <c r="G124" s="186"/>
      <c r="H124" s="186"/>
      <c r="I124" s="186"/>
      <c r="J124" s="186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20.25" customHeight="1" x14ac:dyDescent="0.2">
      <c r="A126" s="3"/>
      <c r="B126" s="186" t="str">
        <f>IF(F102&gt;=E25,"Flowhastighed for stor, vælg størrer rørdiameter","Flowhastighed mindre end maksimal tilladelig. Rørdiameter ok")</f>
        <v>Flowhastighed mindre end maksimal tilladelig. Rørdiameter ok</v>
      </c>
      <c r="C126" s="186"/>
      <c r="D126" s="186"/>
      <c r="E126" s="186"/>
      <c r="F126" s="186"/>
      <c r="G126" s="186"/>
      <c r="H126" s="186"/>
      <c r="I126" s="186"/>
      <c r="J126" s="186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</sheetData>
  <sheetProtection password="CC42" sheet="1" objects="1" scenarios="1"/>
  <mergeCells count="109">
    <mergeCell ref="G18:J18"/>
    <mergeCell ref="G41:J42"/>
    <mergeCell ref="B126:J126"/>
    <mergeCell ref="B50:C50"/>
    <mergeCell ref="B51:C51"/>
    <mergeCell ref="B52:C52"/>
    <mergeCell ref="B53:C53"/>
    <mergeCell ref="B54:C54"/>
    <mergeCell ref="B55:C55"/>
    <mergeCell ref="B57:C57"/>
    <mergeCell ref="B58:C58"/>
    <mergeCell ref="B59:C59"/>
    <mergeCell ref="B60:C60"/>
    <mergeCell ref="B61:C61"/>
    <mergeCell ref="B62:C62"/>
    <mergeCell ref="B63:C63"/>
    <mergeCell ref="H87:L87"/>
    <mergeCell ref="K77:L77"/>
    <mergeCell ref="B90:C90"/>
    <mergeCell ref="H78:J78"/>
    <mergeCell ref="B73:C73"/>
    <mergeCell ref="B75:C75"/>
    <mergeCell ref="H76:J76"/>
    <mergeCell ref="K76:L76"/>
    <mergeCell ref="H75:L75"/>
    <mergeCell ref="B77:C77"/>
    <mergeCell ref="B42:C42"/>
    <mergeCell ref="K83:L83"/>
    <mergeCell ref="K84:L84"/>
    <mergeCell ref="K85:L85"/>
    <mergeCell ref="K86:L86"/>
    <mergeCell ref="H80:J80"/>
    <mergeCell ref="H81:J81"/>
    <mergeCell ref="H82:J82"/>
    <mergeCell ref="H83:J83"/>
    <mergeCell ref="H84:J84"/>
    <mergeCell ref="H85:J85"/>
    <mergeCell ref="H86:J86"/>
    <mergeCell ref="H79:J79"/>
    <mergeCell ref="H77:J77"/>
    <mergeCell ref="B64:C64"/>
    <mergeCell ref="B49:E49"/>
    <mergeCell ref="K78:L78"/>
    <mergeCell ref="K79:L79"/>
    <mergeCell ref="B65:C65"/>
    <mergeCell ref="B46:C46"/>
    <mergeCell ref="B69:C69"/>
    <mergeCell ref="K80:L80"/>
    <mergeCell ref="K81:L81"/>
    <mergeCell ref="K82:L82"/>
    <mergeCell ref="A1:K1"/>
    <mergeCell ref="B15:C15"/>
    <mergeCell ref="B16:C16"/>
    <mergeCell ref="B41:C41"/>
    <mergeCell ref="B32:C32"/>
    <mergeCell ref="B33:C33"/>
    <mergeCell ref="B34:C34"/>
    <mergeCell ref="A3:K3"/>
    <mergeCell ref="B35:C35"/>
    <mergeCell ref="B36:C36"/>
    <mergeCell ref="B21:C21"/>
    <mergeCell ref="B22:C22"/>
    <mergeCell ref="B23:C23"/>
    <mergeCell ref="H27:I27"/>
    <mergeCell ref="J27:K27"/>
    <mergeCell ref="H28:I28"/>
    <mergeCell ref="H29:I29"/>
    <mergeCell ref="H30:I30"/>
    <mergeCell ref="J28:K28"/>
    <mergeCell ref="J29:K29"/>
    <mergeCell ref="J30:K30"/>
    <mergeCell ref="B17:C18"/>
    <mergeCell ref="H119:L119"/>
    <mergeCell ref="B122:C122"/>
    <mergeCell ref="B93:J93"/>
    <mergeCell ref="B100:C100"/>
    <mergeCell ref="B105:C105"/>
    <mergeCell ref="B107:C107"/>
    <mergeCell ref="H107:L107"/>
    <mergeCell ref="B95:J95"/>
    <mergeCell ref="H108:J108"/>
    <mergeCell ref="K108:L108"/>
    <mergeCell ref="B109:C109"/>
    <mergeCell ref="H109:J109"/>
    <mergeCell ref="K109:L109"/>
    <mergeCell ref="B91:C91"/>
    <mergeCell ref="F27:G27"/>
    <mergeCell ref="A4:K4"/>
    <mergeCell ref="B124:J124"/>
    <mergeCell ref="B47:C47"/>
    <mergeCell ref="B102:C102"/>
    <mergeCell ref="H116:J116"/>
    <mergeCell ref="K116:L116"/>
    <mergeCell ref="H117:J117"/>
    <mergeCell ref="K117:L117"/>
    <mergeCell ref="H118:J118"/>
    <mergeCell ref="K118:L118"/>
    <mergeCell ref="H113:J113"/>
    <mergeCell ref="K113:L113"/>
    <mergeCell ref="H114:J114"/>
    <mergeCell ref="K114:L114"/>
    <mergeCell ref="H115:J115"/>
    <mergeCell ref="K115:L115"/>
    <mergeCell ref="H110:J110"/>
    <mergeCell ref="K110:L110"/>
    <mergeCell ref="H111:J111"/>
    <mergeCell ref="K111:L111"/>
    <mergeCell ref="H112:J112"/>
    <mergeCell ref="K112:L112"/>
  </mergeCells>
  <conditionalFormatting sqref="B93:J93">
    <cfRule type="expression" dxfId="48" priority="12">
      <formula>$F$90&lt;$E$27</formula>
    </cfRule>
    <cfRule type="expression" dxfId="47" priority="14">
      <formula>$H$116&lt;$F$25</formula>
    </cfRule>
  </conditionalFormatting>
  <conditionalFormatting sqref="B124:J124">
    <cfRule type="expression" dxfId="46" priority="7">
      <formula>$F$122&lt;$E$27</formula>
    </cfRule>
    <cfRule type="expression" dxfId="45" priority="8">
      <formula>$F$122&lt;$E$27</formula>
    </cfRule>
  </conditionalFormatting>
  <conditionalFormatting sqref="B126:J126">
    <cfRule type="expression" dxfId="44" priority="19">
      <formula>F102&lt;E25</formula>
    </cfRule>
    <cfRule type="expression" dxfId="43" priority="20">
      <formula>"F82&lt;E22"</formula>
    </cfRule>
  </conditionalFormatting>
  <pageMargins left="0.7" right="0.7" top="0.75" bottom="0.75" header="0.3" footer="0.3"/>
  <pageSetup paperSize="9" scale="61" fitToHeight="0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0:O11"/>
  <sheetViews>
    <sheetView showGridLines="0" workbookViewId="0">
      <selection activeCell="A10" sqref="A10:O11"/>
    </sheetView>
  </sheetViews>
  <sheetFormatPr defaultRowHeight="15" x14ac:dyDescent="0.2"/>
  <cols>
    <col min="1" max="1" width="13.5" customWidth="1"/>
    <col min="2" max="2" width="6" customWidth="1"/>
    <col min="3" max="3" width="7.69921875" customWidth="1"/>
    <col min="4" max="4" width="8.3984375" customWidth="1"/>
    <col min="5" max="8" width="7.69921875" customWidth="1"/>
    <col min="9" max="9" width="9" customWidth="1"/>
    <col min="10" max="11" width="7.69921875" customWidth="1"/>
    <col min="12" max="12" width="8.69921875" customWidth="1"/>
    <col min="13" max="15" width="7.69921875" customWidth="1"/>
  </cols>
  <sheetData>
    <row r="10" spans="1:15" ht="34.5" customHeight="1" x14ac:dyDescent="0.2">
      <c r="A10" s="85" t="s">
        <v>114</v>
      </c>
      <c r="B10" s="81" t="s">
        <v>115</v>
      </c>
      <c r="C10" s="81" t="s">
        <v>103</v>
      </c>
      <c r="D10" s="81" t="s">
        <v>104</v>
      </c>
      <c r="E10" s="81" t="s">
        <v>105</v>
      </c>
      <c r="F10" s="81" t="s">
        <v>106</v>
      </c>
      <c r="G10" s="81" t="s">
        <v>107</v>
      </c>
      <c r="H10" s="81" t="s">
        <v>108</v>
      </c>
      <c r="I10" s="81" t="s">
        <v>109</v>
      </c>
      <c r="J10" s="81" t="s">
        <v>117</v>
      </c>
      <c r="K10" s="81" t="s">
        <v>110</v>
      </c>
      <c r="L10" s="81" t="s">
        <v>118</v>
      </c>
      <c r="M10" s="81" t="s">
        <v>111</v>
      </c>
      <c r="N10" s="81" t="s">
        <v>112</v>
      </c>
      <c r="O10" s="81" t="s">
        <v>119</v>
      </c>
    </row>
    <row r="11" spans="1:15" ht="30" x14ac:dyDescent="0.2">
      <c r="A11" s="82" t="s">
        <v>113</v>
      </c>
      <c r="B11" s="83" t="s">
        <v>116</v>
      </c>
      <c r="C11" s="84">
        <v>6.4</v>
      </c>
      <c r="D11" s="84">
        <v>8.4</v>
      </c>
      <c r="E11" s="84">
        <v>10</v>
      </c>
      <c r="F11" s="84">
        <v>13</v>
      </c>
      <c r="G11" s="84">
        <v>15</v>
      </c>
      <c r="H11" s="84">
        <v>16</v>
      </c>
      <c r="I11" s="84">
        <v>20</v>
      </c>
      <c r="J11" s="84">
        <v>25</v>
      </c>
      <c r="K11" s="84">
        <v>25.6</v>
      </c>
      <c r="L11" s="84">
        <v>32</v>
      </c>
      <c r="M11" s="84">
        <v>39</v>
      </c>
      <c r="N11" s="84">
        <v>40</v>
      </c>
      <c r="O11" s="84">
        <v>50</v>
      </c>
    </row>
  </sheetData>
  <sheetProtection password="CC42" sheet="1" objects="1" scenarios="1"/>
  <pageMargins left="0.7" right="0.7" top="0.75" bottom="0.75" header="0.3" footer="0.3"/>
  <pageSetup paperSize="9" scale="5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K18"/>
  <sheetViews>
    <sheetView showGridLines="0" workbookViewId="0">
      <selection activeCell="E34" sqref="E34"/>
    </sheetView>
  </sheetViews>
  <sheetFormatPr defaultRowHeight="15" x14ac:dyDescent="0.2"/>
  <sheetData>
    <row r="2" spans="1:11" ht="15.75" thickBot="1" x14ac:dyDescent="0.25"/>
    <row r="3" spans="1:11" ht="15.75" thickBot="1" x14ac:dyDescent="0.25">
      <c r="A3" s="22"/>
      <c r="B3" s="23" t="s">
        <v>128</v>
      </c>
      <c r="C3" s="24"/>
      <c r="D3" s="25"/>
      <c r="E3" s="25"/>
      <c r="F3" s="25"/>
      <c r="G3" s="25"/>
      <c r="H3" s="25"/>
      <c r="I3" s="25"/>
      <c r="J3" s="25"/>
      <c r="K3" s="26"/>
    </row>
    <row r="4" spans="1:11" x14ac:dyDescent="0.2">
      <c r="A4" s="40"/>
      <c r="B4" s="41"/>
      <c r="C4" s="42"/>
      <c r="D4" s="8"/>
      <c r="E4" s="8"/>
      <c r="F4" s="8"/>
      <c r="G4" s="8"/>
      <c r="H4" s="8"/>
      <c r="I4" s="8"/>
      <c r="J4" s="8"/>
      <c r="K4" s="8"/>
    </row>
    <row r="5" spans="1:11" ht="15.75" thickBot="1" x14ac:dyDescent="0.25">
      <c r="A5" s="40"/>
      <c r="B5" s="41"/>
      <c r="C5" s="42"/>
      <c r="D5" s="8"/>
      <c r="E5" s="8"/>
      <c r="F5" s="8"/>
      <c r="G5" s="8"/>
      <c r="H5" s="8"/>
      <c r="I5" s="8"/>
      <c r="J5" s="8"/>
      <c r="K5" s="8"/>
    </row>
    <row r="6" spans="1:11" ht="15.75" thickBot="1" x14ac:dyDescent="0.25">
      <c r="A6" s="40"/>
      <c r="B6" s="336" t="s">
        <v>81</v>
      </c>
      <c r="C6" s="337"/>
      <c r="D6" s="337"/>
      <c r="E6" s="337"/>
      <c r="F6" s="338"/>
      <c r="G6" s="8"/>
      <c r="H6" s="8"/>
      <c r="I6" s="8"/>
      <c r="J6" s="8"/>
      <c r="K6" s="8"/>
    </row>
    <row r="7" spans="1:11" x14ac:dyDescent="0.2">
      <c r="A7" s="40"/>
      <c r="B7" s="309" t="s">
        <v>14</v>
      </c>
      <c r="C7" s="310"/>
      <c r="D7" s="28" t="s">
        <v>15</v>
      </c>
      <c r="E7" s="78" t="s">
        <v>96</v>
      </c>
      <c r="F7" s="157">
        <v>40</v>
      </c>
      <c r="G7" s="8"/>
      <c r="H7" s="8"/>
      <c r="I7" s="8"/>
      <c r="J7" s="8"/>
      <c r="K7" s="8"/>
    </row>
    <row r="8" spans="1:11" x14ac:dyDescent="0.2">
      <c r="A8" s="40"/>
      <c r="B8" s="339" t="s">
        <v>16</v>
      </c>
      <c r="C8" s="208"/>
      <c r="D8" s="27" t="s">
        <v>139</v>
      </c>
      <c r="E8" s="4" t="s">
        <v>101</v>
      </c>
      <c r="F8" s="158">
        <v>12</v>
      </c>
      <c r="G8" s="8"/>
      <c r="H8" s="8"/>
      <c r="I8" s="8"/>
      <c r="J8" s="8"/>
      <c r="K8" s="8"/>
    </row>
    <row r="9" spans="1:11" x14ac:dyDescent="0.2">
      <c r="A9" s="40"/>
      <c r="B9" s="311" t="s">
        <v>8</v>
      </c>
      <c r="C9" s="312"/>
      <c r="D9" s="4" t="s">
        <v>9</v>
      </c>
      <c r="E9" s="4" t="s">
        <v>10</v>
      </c>
      <c r="F9" s="158">
        <v>15</v>
      </c>
      <c r="G9" s="8"/>
      <c r="H9" s="8"/>
      <c r="I9" s="8"/>
      <c r="J9" s="8"/>
      <c r="K9" s="8"/>
    </row>
    <row r="10" spans="1:11" ht="15.75" thickBot="1" x14ac:dyDescent="0.25">
      <c r="A10" s="40"/>
      <c r="B10" s="349" t="s">
        <v>152</v>
      </c>
      <c r="C10" s="350"/>
      <c r="D10" s="79" t="s">
        <v>24</v>
      </c>
      <c r="E10" s="79" t="s">
        <v>47</v>
      </c>
      <c r="F10" s="159">
        <v>30</v>
      </c>
      <c r="G10" s="8"/>
      <c r="H10" s="8"/>
      <c r="I10" s="8"/>
      <c r="J10" s="8"/>
      <c r="K10" s="8"/>
    </row>
    <row r="11" spans="1:11" ht="15.75" thickBot="1" x14ac:dyDescent="0.25">
      <c r="A11" s="40"/>
      <c r="B11" s="41"/>
      <c r="C11" s="42"/>
      <c r="D11" s="8"/>
      <c r="E11" s="8"/>
      <c r="F11" s="8"/>
      <c r="G11" s="8"/>
      <c r="H11" s="8"/>
      <c r="I11" s="8"/>
      <c r="J11" s="8"/>
      <c r="K11" s="8"/>
    </row>
    <row r="12" spans="1:11" ht="15.75" thickBot="1" x14ac:dyDescent="0.25">
      <c r="A12" s="40"/>
      <c r="B12" s="347" t="s">
        <v>137</v>
      </c>
      <c r="C12" s="348"/>
      <c r="D12" s="169" t="s">
        <v>138</v>
      </c>
      <c r="E12" s="169" t="s">
        <v>143</v>
      </c>
      <c r="F12" s="170">
        <f>F8*(273+F9)/((1+F10/1000)*273)</f>
        <v>12.290621999359864</v>
      </c>
      <c r="G12" s="8"/>
      <c r="H12" s="8"/>
      <c r="I12" s="8"/>
      <c r="J12" s="8"/>
      <c r="K12" s="8"/>
    </row>
    <row r="13" spans="1:11" ht="15.75" thickBot="1" x14ac:dyDescent="0.25">
      <c r="A13" s="9"/>
      <c r="B13" s="3"/>
      <c r="C13" s="10"/>
      <c r="D13" s="13"/>
      <c r="E13" s="3"/>
      <c r="F13" s="3"/>
      <c r="G13" s="1"/>
      <c r="H13" s="1"/>
      <c r="I13" s="1"/>
      <c r="J13" s="1"/>
      <c r="K13" s="9"/>
    </row>
    <row r="14" spans="1:11" ht="15.75" thickBot="1" x14ac:dyDescent="0.25">
      <c r="A14" s="9"/>
      <c r="B14" s="213" t="s">
        <v>127</v>
      </c>
      <c r="C14" s="340"/>
      <c r="D14" s="94" t="s">
        <v>99</v>
      </c>
      <c r="E14" s="95">
        <f>$F$8/(3600*((3.14/(4)*($F$7/1000)^2)))</f>
        <v>2.6539278131634818</v>
      </c>
      <c r="F14" s="3"/>
      <c r="G14" s="341" t="s">
        <v>126</v>
      </c>
      <c r="H14" s="342"/>
      <c r="I14" s="343"/>
      <c r="J14" s="93" t="s">
        <v>125</v>
      </c>
      <c r="K14" s="9"/>
    </row>
    <row r="15" spans="1:11" x14ac:dyDescent="0.2">
      <c r="A15" s="9"/>
      <c r="B15" s="3"/>
      <c r="C15" s="10"/>
      <c r="D15" s="13"/>
      <c r="E15" s="3"/>
      <c r="F15" s="3"/>
      <c r="G15" s="344" t="s">
        <v>122</v>
      </c>
      <c r="H15" s="345"/>
      <c r="I15" s="346"/>
      <c r="J15" s="90">
        <v>25</v>
      </c>
      <c r="K15" s="9"/>
    </row>
    <row r="16" spans="1:11" x14ac:dyDescent="0.2">
      <c r="A16" s="9"/>
      <c r="B16" s="3"/>
      <c r="C16" s="10"/>
      <c r="D16" s="13"/>
      <c r="E16" s="3"/>
      <c r="F16" s="3"/>
      <c r="G16" s="250" t="s">
        <v>123</v>
      </c>
      <c r="H16" s="281"/>
      <c r="I16" s="282"/>
      <c r="J16" s="91">
        <v>20</v>
      </c>
      <c r="K16" s="9"/>
    </row>
    <row r="17" spans="1:11" ht="15.75" thickBot="1" x14ac:dyDescent="0.25">
      <c r="A17" s="9"/>
      <c r="B17" s="3"/>
      <c r="C17" s="10"/>
      <c r="D17" s="13"/>
      <c r="E17" s="3"/>
      <c r="F17" s="3"/>
      <c r="G17" s="333" t="s">
        <v>124</v>
      </c>
      <c r="H17" s="334"/>
      <c r="I17" s="335"/>
      <c r="J17" s="92">
        <v>15</v>
      </c>
      <c r="K17" s="9"/>
    </row>
    <row r="18" spans="1:11" x14ac:dyDescent="0.2">
      <c r="A18" s="9"/>
      <c r="B18" s="3"/>
      <c r="C18" s="10"/>
      <c r="D18" s="13"/>
      <c r="E18" s="3"/>
      <c r="F18" s="3"/>
      <c r="G18" s="1"/>
      <c r="H18" s="1"/>
      <c r="I18" s="1"/>
      <c r="J18" s="1"/>
      <c r="K18" s="9"/>
    </row>
  </sheetData>
  <sheetProtection password="CC42" sheet="1" objects="1" scenarios="1"/>
  <mergeCells count="11">
    <mergeCell ref="G16:I16"/>
    <mergeCell ref="G17:I17"/>
    <mergeCell ref="B6:F6"/>
    <mergeCell ref="B7:C7"/>
    <mergeCell ref="B8:C8"/>
    <mergeCell ref="B14:C14"/>
    <mergeCell ref="G14:I14"/>
    <mergeCell ref="G15:I15"/>
    <mergeCell ref="B12:C12"/>
    <mergeCell ref="B10:C10"/>
    <mergeCell ref="B9:C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20"/>
  <sheetViews>
    <sheetView topLeftCell="A13" workbookViewId="0">
      <selection activeCell="I33" sqref="I33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88.5" customHeight="1" thickBot="1" x14ac:dyDescent="0.25">
      <c r="A1" s="351" t="s">
        <v>216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256" ht="53.25" customHeight="1" thickBot="1" x14ac:dyDescent="0.25">
      <c r="A2" s="306" t="s">
        <v>121</v>
      </c>
      <c r="B2" s="307"/>
      <c r="C2" s="307"/>
      <c r="D2" s="307"/>
      <c r="E2" s="307"/>
      <c r="F2" s="307"/>
      <c r="G2" s="307"/>
      <c r="H2" s="307"/>
      <c r="I2" s="307"/>
      <c r="J2" s="307"/>
      <c r="K2" s="308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7.25" customHeight="1" thickBot="1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247" t="s">
        <v>209</v>
      </c>
      <c r="B4" s="248"/>
      <c r="C4" s="248"/>
      <c r="D4" s="248"/>
      <c r="E4" s="248"/>
      <c r="F4" s="248"/>
      <c r="G4" s="248"/>
      <c r="H4" s="248"/>
      <c r="I4" s="248"/>
      <c r="J4" s="248"/>
      <c r="K4" s="249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4" customHeight="1" thickBot="1" x14ac:dyDescent="0.25">
      <c r="A5" s="183" t="s">
        <v>212</v>
      </c>
      <c r="B5" s="184"/>
      <c r="C5" s="184"/>
      <c r="D5" s="184"/>
      <c r="E5" s="184"/>
      <c r="F5" s="184"/>
      <c r="G5" s="184"/>
      <c r="H5" s="184"/>
      <c r="I5" s="184"/>
      <c r="J5" s="184"/>
      <c r="K5" s="18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26.25" customHeight="1" x14ac:dyDescent="0.2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x14ac:dyDescent="0.2">
      <c r="B7" s="32" t="s">
        <v>36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A8" s="32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.75" thickBot="1" x14ac:dyDescent="0.25">
      <c r="B9" s="43" t="s">
        <v>39</v>
      </c>
      <c r="C9" s="44"/>
      <c r="D9" s="44"/>
      <c r="E9" s="45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5" t="s">
        <v>37</v>
      </c>
      <c r="C10" s="149"/>
      <c r="E10" s="80"/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2" t="s">
        <v>38</v>
      </c>
      <c r="C11" s="150" t="s">
        <v>42</v>
      </c>
      <c r="E11" s="1" t="s">
        <v>102</v>
      </c>
      <c r="N11" s="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3"/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 t="s">
        <v>149</v>
      </c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x14ac:dyDescent="0.2">
      <c r="B14" s="12"/>
      <c r="C14" s="30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.75" thickBot="1" x14ac:dyDescent="0.25"/>
    <row r="16" spans="1:256" x14ac:dyDescent="0.2">
      <c r="B16" s="309" t="s">
        <v>152</v>
      </c>
      <c r="C16" s="310"/>
      <c r="D16" s="78" t="s">
        <v>24</v>
      </c>
      <c r="E16" s="78" t="s">
        <v>47</v>
      </c>
      <c r="F16" s="157">
        <v>3600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256" x14ac:dyDescent="0.2">
      <c r="B17" s="311" t="s">
        <v>8</v>
      </c>
      <c r="C17" s="312"/>
      <c r="D17" s="4" t="s">
        <v>9</v>
      </c>
      <c r="E17" s="4" t="s">
        <v>10</v>
      </c>
      <c r="F17" s="158">
        <v>15</v>
      </c>
      <c r="H17" s="151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2:256" x14ac:dyDescent="0.2">
      <c r="B18" s="318" t="s">
        <v>16</v>
      </c>
      <c r="C18" s="319"/>
      <c r="D18" s="27" t="s">
        <v>139</v>
      </c>
      <c r="E18" s="172" t="s">
        <v>213</v>
      </c>
      <c r="F18" s="158">
        <v>1000</v>
      </c>
      <c r="G18" s="174">
        <f>IF(F18&lt;&gt;0,F18,3600*F19/F34)</f>
        <v>1000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2:256" ht="15.75" thickBot="1" x14ac:dyDescent="0.25">
      <c r="B19" s="320"/>
      <c r="C19" s="321"/>
      <c r="D19" s="29" t="s">
        <v>139</v>
      </c>
      <c r="E19" s="173" t="s">
        <v>97</v>
      </c>
      <c r="F19" s="159"/>
      <c r="G19" s="328" t="s">
        <v>214</v>
      </c>
      <c r="H19" s="329"/>
      <c r="I19" s="329"/>
      <c r="J19" s="32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2:256" ht="15.75" thickBot="1" x14ac:dyDescent="0.25"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2:256" ht="15.75" thickBot="1" x14ac:dyDescent="0.25">
      <c r="B21" s="98" t="s">
        <v>133</v>
      </c>
      <c r="C21" s="99"/>
      <c r="D21" s="99"/>
      <c r="E21" s="45"/>
      <c r="F21" s="8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2:256" x14ac:dyDescent="0.2">
      <c r="B22" s="208" t="s">
        <v>132</v>
      </c>
      <c r="C22" s="208"/>
      <c r="D22" s="154"/>
      <c r="F22" s="8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2:256" x14ac:dyDescent="0.2">
      <c r="B23" s="208" t="s">
        <v>130</v>
      </c>
      <c r="C23" s="208"/>
      <c r="D23" s="154"/>
      <c r="F23" s="8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2:256" x14ac:dyDescent="0.2">
      <c r="B24" s="314" t="s">
        <v>131</v>
      </c>
      <c r="C24" s="314"/>
      <c r="D24" s="155" t="s">
        <v>42</v>
      </c>
      <c r="F24" s="8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2:256" x14ac:dyDescent="0.2">
      <c r="B25" s="176" t="s">
        <v>153</v>
      </c>
      <c r="C25" s="176"/>
      <c r="D25" s="155"/>
      <c r="E25" s="1" t="s">
        <v>154</v>
      </c>
      <c r="F25" s="8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2:256" x14ac:dyDescent="0.2">
      <c r="B26" s="100" t="s">
        <v>144</v>
      </c>
      <c r="C26" s="100"/>
      <c r="D26" s="101" t="s">
        <v>145</v>
      </c>
      <c r="E26" s="102">
        <f>IF(D22&lt;&gt;0,25,IF(D23&lt;&gt;0,20,IF(D24&lt;&gt;0,15,D25)))</f>
        <v>15</v>
      </c>
      <c r="F26" s="8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2:256" ht="15.75" thickBot="1" x14ac:dyDescent="0.25">
      <c r="B27" s="97"/>
      <c r="C27" s="97"/>
      <c r="D27" s="177"/>
      <c r="E27" s="7"/>
      <c r="F27" s="8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2:256" x14ac:dyDescent="0.2">
      <c r="B28" s="106" t="s">
        <v>172</v>
      </c>
      <c r="C28" s="114" t="s">
        <v>173</v>
      </c>
      <c r="D28" s="101" t="s">
        <v>47</v>
      </c>
      <c r="E28" s="154">
        <v>400</v>
      </c>
      <c r="F28" s="264" t="s">
        <v>211</v>
      </c>
      <c r="G28" s="265"/>
      <c r="H28" s="315" t="s">
        <v>176</v>
      </c>
      <c r="I28" s="316"/>
      <c r="J28" s="316" t="s">
        <v>177</v>
      </c>
      <c r="K28" s="317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2:256" x14ac:dyDescent="0.2">
      <c r="B29" s="97"/>
      <c r="C29" s="97"/>
      <c r="D29" s="177"/>
      <c r="E29" s="7"/>
      <c r="F29" s="8"/>
      <c r="H29" s="256" t="s">
        <v>178</v>
      </c>
      <c r="I29" s="268"/>
      <c r="J29" s="268" t="s">
        <v>181</v>
      </c>
      <c r="K29" s="26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2:256" x14ac:dyDescent="0.2">
      <c r="B30" s="97"/>
      <c r="C30" s="97"/>
      <c r="D30" s="177"/>
      <c r="E30" s="7"/>
      <c r="F30" s="8"/>
      <c r="H30" s="256" t="s">
        <v>179</v>
      </c>
      <c r="I30" s="268"/>
      <c r="J30" s="268" t="s">
        <v>182</v>
      </c>
      <c r="K30" s="269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2:256" ht="15.75" thickBot="1" x14ac:dyDescent="0.25">
      <c r="B31" s="12" t="s">
        <v>44</v>
      </c>
      <c r="C31" s="3"/>
      <c r="D31" s="3"/>
      <c r="E31" s="3"/>
      <c r="F31" s="3"/>
      <c r="H31" s="273" t="s">
        <v>180</v>
      </c>
      <c r="I31" s="274"/>
      <c r="J31" s="274" t="s">
        <v>183</v>
      </c>
      <c r="K31" s="275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2:256" x14ac:dyDescent="0.2">
      <c r="B32" s="3"/>
      <c r="C32" s="3"/>
      <c r="D32" s="3"/>
      <c r="E32" s="3"/>
      <c r="F32" s="3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x14ac:dyDescent="0.2">
      <c r="B33" s="221" t="s">
        <v>0</v>
      </c>
      <c r="C33" s="222"/>
      <c r="D33" s="4" t="s">
        <v>1</v>
      </c>
      <c r="E33" s="4" t="s">
        <v>2</v>
      </c>
      <c r="F33" s="47">
        <v>43700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40</v>
      </c>
      <c r="C34" s="222"/>
      <c r="D34" s="4" t="s">
        <v>41</v>
      </c>
      <c r="E34" s="4" t="s">
        <v>2</v>
      </c>
      <c r="F34" s="47">
        <f>IF(C10&lt;&gt;0,93600,39500)</f>
        <v>39500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3</v>
      </c>
      <c r="C35" s="222"/>
      <c r="D35" s="4" t="s">
        <v>4</v>
      </c>
      <c r="E35" s="4" t="s">
        <v>5</v>
      </c>
      <c r="F35" s="46">
        <f>IF(C10&lt;&gt;0,1.555,0.61)</f>
        <v>0.61</v>
      </c>
      <c r="H35" s="123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6</v>
      </c>
      <c r="C36" s="222"/>
      <c r="D36" s="11" t="s">
        <v>21</v>
      </c>
      <c r="E36" s="4" t="s">
        <v>155</v>
      </c>
      <c r="F36" s="46">
        <f>IF(C10&lt;&gt;0,0.8,1.06)</f>
        <v>1.06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221" t="s">
        <v>45</v>
      </c>
      <c r="C37" s="222"/>
      <c r="D37" s="17" t="s">
        <v>18</v>
      </c>
      <c r="E37" s="4" t="s">
        <v>43</v>
      </c>
      <c r="F37" s="46">
        <f>IF(C10&lt;&gt;0,2.02,0.82)</f>
        <v>0.82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x14ac:dyDescent="0.2">
      <c r="B38" s="97"/>
      <c r="C38" s="97"/>
      <c r="D38" s="11"/>
      <c r="E38" s="7"/>
      <c r="F38" s="103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.75" thickBot="1" x14ac:dyDescent="0.25"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4.75" customHeight="1" thickBot="1" x14ac:dyDescent="0.35">
      <c r="A40" s="135" t="s">
        <v>190</v>
      </c>
      <c r="B40" s="131" t="s">
        <v>136</v>
      </c>
      <c r="C40" s="132"/>
      <c r="D40" s="133"/>
      <c r="E40" s="133"/>
      <c r="F40" s="133"/>
      <c r="G40" s="133"/>
      <c r="H40" s="133"/>
      <c r="I40" s="133"/>
      <c r="J40" s="133"/>
      <c r="K40" s="134"/>
      <c r="L40" s="3"/>
      <c r="M40" s="12"/>
      <c r="N40" s="9"/>
      <c r="O40" s="9"/>
      <c r="P40" s="9"/>
      <c r="Q40" s="9"/>
      <c r="R40" s="9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313" t="s">
        <v>137</v>
      </c>
      <c r="C42" s="313"/>
      <c r="D42" s="107" t="s">
        <v>138</v>
      </c>
      <c r="E42" s="107" t="s">
        <v>143</v>
      </c>
      <c r="F42" s="108">
        <f>G18*(273+F17)/((1+F16/1000)*273)</f>
        <v>229.33588150979458</v>
      </c>
      <c r="G42" s="330" t="s">
        <v>215</v>
      </c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x14ac:dyDescent="0.2">
      <c r="B43" s="267" t="s">
        <v>84</v>
      </c>
      <c r="C43" s="267"/>
      <c r="D43" s="111"/>
      <c r="E43" s="109" t="s">
        <v>97</v>
      </c>
      <c r="F43" s="110">
        <f>IF(F19&lt;&gt;0,F19,F34*F18/3600)</f>
        <v>10972.222222222223</v>
      </c>
      <c r="G43" s="330"/>
      <c r="H43" s="331"/>
      <c r="I43" s="331"/>
      <c r="J43" s="331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.75" thickBot="1" x14ac:dyDescent="0.25"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24.75" customHeight="1" thickBot="1" x14ac:dyDescent="0.35">
      <c r="A45" s="135" t="s">
        <v>189</v>
      </c>
      <c r="B45" s="131" t="s">
        <v>140</v>
      </c>
      <c r="C45" s="132"/>
      <c r="D45" s="133"/>
      <c r="E45" s="133"/>
      <c r="F45" s="133"/>
      <c r="G45" s="133"/>
      <c r="H45" s="133"/>
      <c r="I45" s="133"/>
      <c r="J45" s="133"/>
      <c r="K45" s="134"/>
      <c r="L45" s="3"/>
      <c r="M45" s="12"/>
      <c r="N45" s="9"/>
      <c r="O45" s="9"/>
      <c r="P45" s="9"/>
      <c r="Q45" s="9"/>
      <c r="R45" s="9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327" t="s">
        <v>141</v>
      </c>
      <c r="C47" s="327"/>
      <c r="D47" s="145" t="s">
        <v>142</v>
      </c>
      <c r="E47" s="145" t="s">
        <v>96</v>
      </c>
      <c r="F47" s="146">
        <f>18.8*SQRT(F42/E26)</f>
        <v>73.510304928774801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x14ac:dyDescent="0.2">
      <c r="B48" s="266" t="s">
        <v>100</v>
      </c>
      <c r="C48" s="266"/>
      <c r="D48" s="126" t="s">
        <v>184</v>
      </c>
      <c r="E48" s="127" t="s">
        <v>99</v>
      </c>
      <c r="F48" s="110">
        <f>$F$42*4/(3600*3.14* ($F$47/1000)^2)</f>
        <v>15.017699259639441</v>
      </c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256" ht="15.75" thickBot="1" x14ac:dyDescent="0.25">
      <c r="B49" s="142"/>
      <c r="C49" s="142"/>
      <c r="D49" s="143"/>
      <c r="E49" s="144"/>
      <c r="F49" s="124"/>
      <c r="H49" s="124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2:256" ht="15.75" thickBot="1" x14ac:dyDescent="0.25">
      <c r="B50" s="323" t="s">
        <v>193</v>
      </c>
      <c r="C50" s="324"/>
      <c r="D50" s="324"/>
      <c r="E50" s="325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2:256" x14ac:dyDescent="0.2">
      <c r="B51" s="332" t="s">
        <v>194</v>
      </c>
      <c r="C51" s="332"/>
      <c r="D51" s="147" t="s">
        <v>78</v>
      </c>
      <c r="E51" s="149">
        <v>40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2:256" x14ac:dyDescent="0.2">
      <c r="B52" s="208" t="s">
        <v>195</v>
      </c>
      <c r="C52" s="208"/>
      <c r="D52" s="27" t="s">
        <v>208</v>
      </c>
      <c r="E52" s="150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2:256" x14ac:dyDescent="0.2">
      <c r="B53" s="208" t="s">
        <v>196</v>
      </c>
      <c r="C53" s="208"/>
      <c r="D53" s="27" t="s">
        <v>208</v>
      </c>
      <c r="E53" s="150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2:256" x14ac:dyDescent="0.2">
      <c r="B54" s="208" t="s">
        <v>197</v>
      </c>
      <c r="C54" s="208"/>
      <c r="D54" s="27" t="s">
        <v>208</v>
      </c>
      <c r="E54" s="150">
        <v>4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2:256" x14ac:dyDescent="0.2">
      <c r="B55" s="208" t="s">
        <v>198</v>
      </c>
      <c r="C55" s="208"/>
      <c r="D55" s="27" t="s">
        <v>208</v>
      </c>
      <c r="E55" s="150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2:256" x14ac:dyDescent="0.2">
      <c r="B56" s="208" t="s">
        <v>199</v>
      </c>
      <c r="C56" s="208"/>
      <c r="D56" s="27" t="s">
        <v>208</v>
      </c>
      <c r="E56" s="150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2:256" x14ac:dyDescent="0.2">
      <c r="B57" s="2" t="s">
        <v>200</v>
      </c>
      <c r="C57" s="141"/>
      <c r="D57" s="27" t="s">
        <v>208</v>
      </c>
      <c r="E57" s="150">
        <v>4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2:256" x14ac:dyDescent="0.2">
      <c r="B58" s="208" t="s">
        <v>201</v>
      </c>
      <c r="C58" s="208"/>
      <c r="D58" s="27" t="s">
        <v>208</v>
      </c>
      <c r="E58" s="150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2:256" x14ac:dyDescent="0.2">
      <c r="B59" s="208" t="s">
        <v>202</v>
      </c>
      <c r="C59" s="208"/>
      <c r="D59" s="27" t="s">
        <v>208</v>
      </c>
      <c r="E59" s="150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2:256" x14ac:dyDescent="0.2">
      <c r="B60" s="208" t="s">
        <v>203</v>
      </c>
      <c r="C60" s="208"/>
      <c r="D60" s="27" t="s">
        <v>208</v>
      </c>
      <c r="E60" s="15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2:256" x14ac:dyDescent="0.2">
      <c r="B61" s="208" t="s">
        <v>204</v>
      </c>
      <c r="C61" s="208"/>
      <c r="D61" s="27" t="s">
        <v>208</v>
      </c>
      <c r="E61" s="150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2:256" x14ac:dyDescent="0.2">
      <c r="B62" s="208" t="s">
        <v>205</v>
      </c>
      <c r="C62" s="208"/>
      <c r="D62" s="27" t="s">
        <v>208</v>
      </c>
      <c r="E62" s="150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2:256" x14ac:dyDescent="0.2">
      <c r="B63" s="208" t="s">
        <v>206</v>
      </c>
      <c r="C63" s="208"/>
      <c r="D63" s="27" t="s">
        <v>208</v>
      </c>
      <c r="E63" s="150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2:256" x14ac:dyDescent="0.2">
      <c r="B64" s="208" t="s">
        <v>207</v>
      </c>
      <c r="C64" s="208"/>
      <c r="D64" s="27" t="s">
        <v>208</v>
      </c>
      <c r="E64" s="150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x14ac:dyDescent="0.2">
      <c r="B65" s="322"/>
      <c r="C65" s="322"/>
      <c r="D65" s="177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x14ac:dyDescent="0.2">
      <c r="B66" s="326" t="s">
        <v>192</v>
      </c>
      <c r="C66" s="326"/>
      <c r="D66" s="139" t="s">
        <v>13</v>
      </c>
      <c r="E66" s="140" t="s">
        <v>78</v>
      </c>
      <c r="F66" s="148">
        <f>E51+(166*E52+70*E53+25*E54+60*E55+40*E56+25*E57+17*E58+16*E59+18*E60+25*E61+100*E62+100*E63+25*E64)*F47/1000</f>
        <v>54.702060985754962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.75" thickBot="1" x14ac:dyDescent="0.25"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24.75" customHeight="1" thickBot="1" x14ac:dyDescent="0.35">
      <c r="A68" s="135" t="s">
        <v>188</v>
      </c>
      <c r="B68" s="131" t="s">
        <v>146</v>
      </c>
      <c r="C68" s="136"/>
      <c r="D68" s="137"/>
      <c r="E68" s="137"/>
      <c r="F68" s="137"/>
      <c r="G68" s="137"/>
      <c r="H68" s="137"/>
      <c r="I68" s="137"/>
      <c r="J68" s="137"/>
      <c r="K68" s="138"/>
      <c r="L68" s="3"/>
      <c r="M68" s="12"/>
      <c r="N68" s="9"/>
      <c r="O68" s="9"/>
      <c r="P68" s="9"/>
      <c r="Q68" s="9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B70" s="286" t="s">
        <v>147</v>
      </c>
      <c r="C70" s="286"/>
      <c r="D70" s="101" t="s">
        <v>148</v>
      </c>
      <c r="E70" s="101" t="s">
        <v>47</v>
      </c>
      <c r="F70" s="104">
        <f>0.5*F35*F66*F18*E26^2/(F47*F42)</f>
        <v>222.67210440983732</v>
      </c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x14ac:dyDescent="0.2">
      <c r="B74" s="288" t="s">
        <v>150</v>
      </c>
      <c r="C74" s="288"/>
      <c r="D74" s="109" t="s">
        <v>151</v>
      </c>
      <c r="E74" s="120" t="s">
        <v>171</v>
      </c>
      <c r="F74" s="113">
        <f>IF(F18&lt;&gt;0,0.45*100000*F18*F35/(F36*F47),0.45*100000*F19*3600*F35/(F34*F36*F47))</f>
        <v>352280.22030633077</v>
      </c>
      <c r="G74" s="113">
        <f>0.45*100000*F18*F35/(F36*F47)</f>
        <v>352280.22030633077</v>
      </c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289" t="s">
        <v>156</v>
      </c>
      <c r="C76" s="290"/>
      <c r="D76" s="2" t="s">
        <v>20</v>
      </c>
      <c r="E76" s="2" t="s">
        <v>116</v>
      </c>
      <c r="F76" s="153">
        <v>0.04</v>
      </c>
      <c r="H76" s="291" t="s">
        <v>169</v>
      </c>
      <c r="I76" s="292"/>
      <c r="J76" s="292"/>
      <c r="K76" s="292"/>
      <c r="L76" s="293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.75" thickBot="1" x14ac:dyDescent="0.25">
      <c r="B77" s="115"/>
      <c r="C77" s="115"/>
      <c r="D77" s="3"/>
      <c r="E77" s="3"/>
      <c r="F77" s="8"/>
      <c r="H77" s="295" t="s">
        <v>33</v>
      </c>
      <c r="I77" s="296"/>
      <c r="J77" s="297"/>
      <c r="K77" s="298" t="s">
        <v>34</v>
      </c>
      <c r="L77" s="299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x14ac:dyDescent="0.2">
      <c r="A78" s="9"/>
      <c r="B78" s="300" t="s">
        <v>170</v>
      </c>
      <c r="C78" s="300"/>
      <c r="D78" s="3"/>
      <c r="E78" s="3"/>
      <c r="F78" s="3"/>
      <c r="G78" s="3"/>
      <c r="H78" s="301" t="s">
        <v>25</v>
      </c>
      <c r="I78" s="302"/>
      <c r="J78" s="303"/>
      <c r="K78" s="304"/>
      <c r="L78" s="305"/>
      <c r="M78" s="9"/>
      <c r="N78" s="9"/>
      <c r="O78" s="9"/>
      <c r="P78" s="9"/>
      <c r="Q78" s="9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customHeight="1" x14ac:dyDescent="0.2">
      <c r="B79" s="116" t="s">
        <v>157</v>
      </c>
      <c r="C79" s="116"/>
      <c r="D79" s="116"/>
      <c r="E79" s="116"/>
      <c r="F79" s="117">
        <f>IF(AND(AND($F$43&lt;&gt;0,$F$47&lt;&gt;0),$F$16&lt;&gt;0),-4*LOG10($F$76/(3.7*$F$47)+5.1286/($F$74^0.89)),"")</f>
        <v>14.741208252212953</v>
      </c>
      <c r="H79" s="250" t="s">
        <v>26</v>
      </c>
      <c r="I79" s="281"/>
      <c r="J79" s="282"/>
      <c r="K79" s="270">
        <v>0.01</v>
      </c>
      <c r="L79" s="271"/>
    </row>
    <row r="80" spans="1:256" ht="15" customHeight="1" x14ac:dyDescent="0.2">
      <c r="A80" s="3"/>
      <c r="B80" s="116" t="s">
        <v>158</v>
      </c>
      <c r="C80" s="116"/>
      <c r="D80" s="116"/>
      <c r="E80" s="116"/>
      <c r="F80" s="117">
        <f t="shared" ref="F80:F88" si="0">IF(AND(AND($F$43&lt;&gt;0,$F$47&lt;&gt;0),$F$16&lt;&gt;0),-4*LOG10($F$76/(3.7*$F$47)+1.413*F79/($F$74^0.89)),"")</f>
        <v>13.644560734923632</v>
      </c>
      <c r="G80" s="3"/>
      <c r="H80" s="256" t="s">
        <v>27</v>
      </c>
      <c r="I80" s="268"/>
      <c r="J80" s="269"/>
      <c r="K80" s="270">
        <v>0.05</v>
      </c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159</v>
      </c>
      <c r="C81" s="116"/>
      <c r="D81" s="116"/>
      <c r="E81" s="116"/>
      <c r="F81" s="117">
        <f t="shared" si="0"/>
        <v>13.72672698293969</v>
      </c>
      <c r="G81" s="3"/>
      <c r="H81" s="283"/>
      <c r="I81" s="284"/>
      <c r="J81" s="285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160</v>
      </c>
      <c r="C82" s="116"/>
      <c r="D82" s="116"/>
      <c r="E82" s="116"/>
      <c r="F82" s="117">
        <f t="shared" si="0"/>
        <v>13.720434177891267</v>
      </c>
      <c r="G82" s="3"/>
      <c r="H82" s="278" t="s">
        <v>28</v>
      </c>
      <c r="I82" s="279"/>
      <c r="J82" s="280"/>
      <c r="K82" s="270"/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161</v>
      </c>
      <c r="C83" s="116"/>
      <c r="D83" s="116"/>
      <c r="E83" s="116"/>
      <c r="F83" s="117">
        <f t="shared" si="0"/>
        <v>13.720915315024758</v>
      </c>
      <c r="G83" s="3"/>
      <c r="H83" s="256" t="s">
        <v>29</v>
      </c>
      <c r="I83" s="268"/>
      <c r="J83" s="269"/>
      <c r="K83" s="270">
        <v>0.04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162</v>
      </c>
      <c r="C84" s="116"/>
      <c r="D84" s="116"/>
      <c r="E84" s="116"/>
      <c r="F84" s="117">
        <f t="shared" si="0"/>
        <v>13.720878523395527</v>
      </c>
      <c r="G84" s="3"/>
      <c r="H84" s="256" t="s">
        <v>30</v>
      </c>
      <c r="I84" s="268"/>
      <c r="J84" s="269"/>
      <c r="K84" s="270">
        <v>0.08</v>
      </c>
      <c r="L84" s="271"/>
      <c r="M84" s="9"/>
      <c r="N84" s="9"/>
      <c r="O84" s="9"/>
      <c r="P84" s="9"/>
      <c r="Q84" s="9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163</v>
      </c>
      <c r="C85" s="116"/>
      <c r="D85" s="116"/>
      <c r="E85" s="116"/>
      <c r="F85" s="117">
        <f t="shared" si="0"/>
        <v>13.720881336752987</v>
      </c>
      <c r="G85" s="3"/>
      <c r="H85" s="256" t="s">
        <v>31</v>
      </c>
      <c r="I85" s="268"/>
      <c r="J85" s="269"/>
      <c r="K85" s="270">
        <v>0.4</v>
      </c>
      <c r="L85" s="271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x14ac:dyDescent="0.2">
      <c r="A86" s="3"/>
      <c r="B86" s="116" t="s">
        <v>164</v>
      </c>
      <c r="C86" s="116"/>
      <c r="D86" s="116"/>
      <c r="E86" s="116"/>
      <c r="F86" s="117">
        <f t="shared" si="0"/>
        <v>13.720881121622908</v>
      </c>
      <c r="G86" s="3"/>
      <c r="H86" s="256" t="s">
        <v>32</v>
      </c>
      <c r="I86" s="268"/>
      <c r="J86" s="269"/>
      <c r="K86" s="272">
        <v>0.02</v>
      </c>
      <c r="L86" s="23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6" t="s">
        <v>165</v>
      </c>
      <c r="C87" s="116"/>
      <c r="D87" s="116"/>
      <c r="E87" s="116"/>
      <c r="F87" s="117">
        <f t="shared" si="0"/>
        <v>13.72088113807334</v>
      </c>
      <c r="G87" s="3"/>
      <c r="H87" s="273" t="s">
        <v>129</v>
      </c>
      <c r="I87" s="274"/>
      <c r="J87" s="275"/>
      <c r="K87" s="276">
        <v>2E-3</v>
      </c>
      <c r="L87" s="277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customHeight="1" thickBot="1" x14ac:dyDescent="0.25">
      <c r="A88" s="3"/>
      <c r="B88" s="111" t="s">
        <v>166</v>
      </c>
      <c r="C88" s="111"/>
      <c r="D88" s="111"/>
      <c r="E88" s="111"/>
      <c r="F88" s="118">
        <f t="shared" si="0"/>
        <v>13.72088113681542</v>
      </c>
      <c r="G88" s="3"/>
      <c r="H88" s="240" t="s">
        <v>35</v>
      </c>
      <c r="I88" s="241"/>
      <c r="J88" s="241"/>
      <c r="K88" s="241"/>
      <c r="L88" s="24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86" t="s">
        <v>167</v>
      </c>
      <c r="C91" s="286"/>
      <c r="D91" s="114" t="s">
        <v>168</v>
      </c>
      <c r="E91" s="101" t="s">
        <v>47</v>
      </c>
      <c r="F91" s="102">
        <f>F70*50/F88^2</f>
        <v>59.13870546945914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263" t="s">
        <v>141</v>
      </c>
      <c r="C92" s="263"/>
      <c r="D92" s="125" t="s">
        <v>142</v>
      </c>
      <c r="E92" s="125" t="s">
        <v>96</v>
      </c>
      <c r="F92" s="168">
        <f>F47</f>
        <v>73.510304928774801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20.25" x14ac:dyDescent="0.2">
      <c r="A94" s="3"/>
      <c r="B94" s="186" t="str">
        <f>IF(F91&gt;=E28,"Tryktab for stort. Gå til pkt 4. nedenfor","Tryktab mindre end tilladeligt tryktab. Rørdiameter ok")</f>
        <v>Tryktab mindre end tilladeligt tryktab. Rørdiameter ok</v>
      </c>
      <c r="C94" s="186"/>
      <c r="D94" s="186"/>
      <c r="E94" s="186"/>
      <c r="F94" s="186"/>
      <c r="G94" s="186"/>
      <c r="H94" s="186"/>
      <c r="I94" s="186"/>
      <c r="J94" s="186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8" x14ac:dyDescent="0.25">
      <c r="A96" s="3"/>
      <c r="B96" s="294" t="s">
        <v>186</v>
      </c>
      <c r="C96" s="294"/>
      <c r="D96" s="294"/>
      <c r="E96" s="294"/>
      <c r="F96" s="294"/>
      <c r="G96" s="294"/>
      <c r="H96" s="294"/>
      <c r="I96" s="294"/>
      <c r="J96" s="29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.75" thickBo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24.75" customHeight="1" thickBot="1" x14ac:dyDescent="0.35">
      <c r="A98" s="135" t="s">
        <v>187</v>
      </c>
      <c r="B98" s="131" t="s">
        <v>191</v>
      </c>
      <c r="C98" s="136"/>
      <c r="D98" s="137"/>
      <c r="E98" s="137"/>
      <c r="F98" s="137"/>
      <c r="G98" s="137"/>
      <c r="H98" s="137"/>
      <c r="I98" s="137"/>
      <c r="J98" s="137"/>
      <c r="K98" s="138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175" t="s">
        <v>185</v>
      </c>
      <c r="C100" s="175"/>
      <c r="D100" s="114" t="s">
        <v>15</v>
      </c>
      <c r="E100" s="101" t="s">
        <v>96</v>
      </c>
      <c r="F100" s="104">
        <f>(($F$91/$E$28)^0.2)*$F$47</f>
        <v>50.154578937138133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x14ac:dyDescent="0.2">
      <c r="B101" s="287" t="s">
        <v>210</v>
      </c>
      <c r="C101" s="287"/>
      <c r="D101" s="128" t="s">
        <v>15</v>
      </c>
      <c r="E101" s="125" t="s">
        <v>96</v>
      </c>
      <c r="F101" s="156">
        <v>74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G102" s="1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.75" thickBot="1" x14ac:dyDescent="0.25">
      <c r="B103" s="267" t="s">
        <v>100</v>
      </c>
      <c r="C103" s="267"/>
      <c r="D103" s="120" t="s">
        <v>184</v>
      </c>
      <c r="E103" s="109" t="s">
        <v>99</v>
      </c>
      <c r="F103" s="129">
        <f>$F$42*4/(3600*3.14* ($F$101/1000)^2)</f>
        <v>14.819597625887718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x14ac:dyDescent="0.2">
      <c r="B106" s="288" t="s">
        <v>150</v>
      </c>
      <c r="C106" s="288"/>
      <c r="D106" s="109" t="s">
        <v>151</v>
      </c>
      <c r="E106" s="120" t="s">
        <v>171</v>
      </c>
      <c r="F106" s="113">
        <f>0.45*100000*$F$18*$F$35/($F$36*F101)</f>
        <v>349949.00560938299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289" t="s">
        <v>156</v>
      </c>
      <c r="C108" s="290"/>
      <c r="D108" s="2" t="s">
        <v>20</v>
      </c>
      <c r="E108" s="2" t="s">
        <v>116</v>
      </c>
      <c r="F108" s="153">
        <v>0.04</v>
      </c>
      <c r="H108" s="291" t="s">
        <v>169</v>
      </c>
      <c r="I108" s="292"/>
      <c r="J108" s="292"/>
      <c r="K108" s="292"/>
      <c r="L108" s="29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.75" thickBot="1" x14ac:dyDescent="0.25">
      <c r="B109" s="115"/>
      <c r="C109" s="115"/>
      <c r="D109" s="3"/>
      <c r="E109" s="3"/>
      <c r="F109" s="8"/>
      <c r="H109" s="295" t="s">
        <v>33</v>
      </c>
      <c r="I109" s="296"/>
      <c r="J109" s="297"/>
      <c r="K109" s="298" t="s">
        <v>34</v>
      </c>
      <c r="L109" s="29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A110" s="9"/>
      <c r="B110" s="300" t="s">
        <v>170</v>
      </c>
      <c r="C110" s="300"/>
      <c r="D110" s="3"/>
      <c r="E110" s="3"/>
      <c r="F110" s="3"/>
      <c r="G110" s="3"/>
      <c r="H110" s="301" t="s">
        <v>25</v>
      </c>
      <c r="I110" s="302"/>
      <c r="J110" s="303"/>
      <c r="K110" s="304"/>
      <c r="L110" s="30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B111" s="116" t="s">
        <v>157</v>
      </c>
      <c r="C111" s="116"/>
      <c r="D111" s="116"/>
      <c r="E111" s="116"/>
      <c r="F111" s="117">
        <f>IF(AND(AND($F$43&lt;&gt;0,$F$101&lt;&gt;0),$F$16&lt;&gt;0),-4*LOG10($F$108/(3.7*$F$101)+5.1286/($F$106^0.89)),"")</f>
        <v>14.74644786613251</v>
      </c>
      <c r="H111" s="250" t="s">
        <v>26</v>
      </c>
      <c r="I111" s="281"/>
      <c r="J111" s="282"/>
      <c r="K111" s="270">
        <v>0.01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158</v>
      </c>
      <c r="C112" s="116"/>
      <c r="D112" s="116"/>
      <c r="E112" s="116"/>
      <c r="F112" s="117">
        <f t="shared" ref="F112:F119" si="1">IF(AND(AND($F$43&lt;&gt;0,$F$101&lt;&gt;0),$F$16&lt;&gt;0),-4*LOG10($F$108/(3.7*$F$101)+1.413*F111/($F$106^0.89)),"")</f>
        <v>13.642140231959907</v>
      </c>
      <c r="G112" s="3"/>
      <c r="H112" s="256" t="s">
        <v>27</v>
      </c>
      <c r="I112" s="268"/>
      <c r="J112" s="269"/>
      <c r="K112" s="270">
        <v>0.05</v>
      </c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159</v>
      </c>
      <c r="C113" s="116"/>
      <c r="D113" s="116"/>
      <c r="E113" s="116"/>
      <c r="F113" s="117">
        <f t="shared" si="1"/>
        <v>13.725277955309489</v>
      </c>
      <c r="G113" s="3"/>
      <c r="H113" s="283"/>
      <c r="I113" s="284"/>
      <c r="J113" s="285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160</v>
      </c>
      <c r="C114" s="116"/>
      <c r="D114" s="116"/>
      <c r="E114" s="116"/>
      <c r="F114" s="117">
        <f t="shared" si="1"/>
        <v>13.718878549226575</v>
      </c>
      <c r="G114" s="3"/>
      <c r="H114" s="278" t="s">
        <v>28</v>
      </c>
      <c r="I114" s="279"/>
      <c r="J114" s="280"/>
      <c r="K114" s="270"/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161</v>
      </c>
      <c r="C115" s="116"/>
      <c r="D115" s="116"/>
      <c r="E115" s="116"/>
      <c r="F115" s="117">
        <f t="shared" si="1"/>
        <v>13.719370297675681</v>
      </c>
      <c r="G115" s="3"/>
      <c r="H115" s="256" t="s">
        <v>29</v>
      </c>
      <c r="I115" s="268"/>
      <c r="J115" s="269"/>
      <c r="K115" s="270">
        <v>0.04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162</v>
      </c>
      <c r="C116" s="116"/>
      <c r="D116" s="116"/>
      <c r="E116" s="116"/>
      <c r="F116" s="117">
        <f t="shared" si="1"/>
        <v>13.719332505397389</v>
      </c>
      <c r="G116" s="3"/>
      <c r="H116" s="256" t="s">
        <v>30</v>
      </c>
      <c r="I116" s="268"/>
      <c r="J116" s="269"/>
      <c r="K116" s="270">
        <v>0.08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163</v>
      </c>
      <c r="C117" s="116"/>
      <c r="D117" s="116"/>
      <c r="E117" s="116"/>
      <c r="F117" s="117">
        <f t="shared" si="1"/>
        <v>13.719335409813171</v>
      </c>
      <c r="G117" s="3"/>
      <c r="H117" s="256" t="s">
        <v>31</v>
      </c>
      <c r="I117" s="268"/>
      <c r="J117" s="269"/>
      <c r="K117" s="270">
        <v>0.4</v>
      </c>
      <c r="L117" s="271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x14ac:dyDescent="0.2">
      <c r="A118" s="3"/>
      <c r="B118" s="116" t="s">
        <v>164</v>
      </c>
      <c r="C118" s="116"/>
      <c r="D118" s="116"/>
      <c r="E118" s="116"/>
      <c r="F118" s="117">
        <f t="shared" si="1"/>
        <v>13.71933518660256</v>
      </c>
      <c r="G118" s="3"/>
      <c r="H118" s="256" t="s">
        <v>32</v>
      </c>
      <c r="I118" s="268"/>
      <c r="J118" s="269"/>
      <c r="K118" s="272">
        <v>0.02</v>
      </c>
      <c r="L118" s="23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6" t="s">
        <v>165</v>
      </c>
      <c r="C119" s="116"/>
      <c r="D119" s="116"/>
      <c r="E119" s="116"/>
      <c r="F119" s="117">
        <f t="shared" si="1"/>
        <v>13.719335203756776</v>
      </c>
      <c r="G119" s="3"/>
      <c r="H119" s="273" t="s">
        <v>129</v>
      </c>
      <c r="I119" s="274"/>
      <c r="J119" s="275"/>
      <c r="K119" s="276">
        <v>2E-3</v>
      </c>
      <c r="L119" s="27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.75" thickBot="1" x14ac:dyDescent="0.25">
      <c r="A120" s="3"/>
      <c r="B120" s="111" t="s">
        <v>166</v>
      </c>
      <c r="C120" s="111"/>
      <c r="D120" s="111"/>
      <c r="E120" s="111"/>
      <c r="F120" s="118">
        <f>IF(AND(AND($F$43&lt;&gt;0,$F$47&lt;&gt;0),$F$16&lt;&gt;0),-4*LOG10($F$108/(3.7*$F$47)+1.413*F119/($F$74^0.89)),"")</f>
        <v>13.720999354381263</v>
      </c>
      <c r="G120" s="3"/>
      <c r="H120" s="240" t="s">
        <v>35</v>
      </c>
      <c r="I120" s="241"/>
      <c r="J120" s="241"/>
      <c r="K120" s="241"/>
      <c r="L120" s="24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286" t="s">
        <v>167</v>
      </c>
      <c r="C123" s="286"/>
      <c r="D123" s="114" t="s">
        <v>168</v>
      </c>
      <c r="E123" s="101" t="s">
        <v>47</v>
      </c>
      <c r="F123" s="102">
        <f>3.24*F42*F18*F66*F35*1000000/(F120^2*F101^5)</f>
        <v>59.349963632034019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20.25" x14ac:dyDescent="0.2">
      <c r="A125" s="3"/>
      <c r="B125" s="186" t="str">
        <f>IF(F123&gt;=E28,"Tryktab for stort. Vælg større rørdiameter","Tryktab mindre end tilladeligt tryktab. Rørdiameter ok")</f>
        <v>Tryktab mindre end tilladeligt tryktab. Rørdiameter ok</v>
      </c>
      <c r="C125" s="186"/>
      <c r="D125" s="186"/>
      <c r="E125" s="186"/>
      <c r="F125" s="186"/>
      <c r="G125" s="186"/>
      <c r="H125" s="186"/>
      <c r="I125" s="186"/>
      <c r="J125" s="186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20.25" customHeight="1" x14ac:dyDescent="0.2">
      <c r="A127" s="3"/>
      <c r="B127" s="186" t="str">
        <f>IF(F103&gt;=E26,"Flowhastighed for stor, vælg størrer rørdiameter","Flowhastighed mindre end maksimal tilladelig. Rørdiameter ok")</f>
        <v>Flowhastighed mindre end maksimal tilladelig. Rørdiameter ok</v>
      </c>
      <c r="C127" s="186"/>
      <c r="D127" s="186"/>
      <c r="E127" s="186"/>
      <c r="F127" s="186"/>
      <c r="G127" s="186"/>
      <c r="H127" s="186"/>
      <c r="I127" s="186"/>
      <c r="J127" s="186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</sheetData>
  <mergeCells count="110">
    <mergeCell ref="B18:C19"/>
    <mergeCell ref="G19:J19"/>
    <mergeCell ref="B22:C22"/>
    <mergeCell ref="B23:C23"/>
    <mergeCell ref="B24:C24"/>
    <mergeCell ref="F28:G28"/>
    <mergeCell ref="H28:I28"/>
    <mergeCell ref="J28:K28"/>
    <mergeCell ref="A1:K1"/>
    <mergeCell ref="A2:K2"/>
    <mergeCell ref="A4:K4"/>
    <mergeCell ref="A5:K5"/>
    <mergeCell ref="B16:C16"/>
    <mergeCell ref="B17:C17"/>
    <mergeCell ref="B33:C33"/>
    <mergeCell ref="B34:C34"/>
    <mergeCell ref="B35:C35"/>
    <mergeCell ref="B36:C36"/>
    <mergeCell ref="B37:C37"/>
    <mergeCell ref="B42:C42"/>
    <mergeCell ref="H29:I29"/>
    <mergeCell ref="J29:K29"/>
    <mergeCell ref="H30:I30"/>
    <mergeCell ref="J30:K30"/>
    <mergeCell ref="H31:I31"/>
    <mergeCell ref="J31:K31"/>
    <mergeCell ref="B52:C52"/>
    <mergeCell ref="B53:C53"/>
    <mergeCell ref="B54:C54"/>
    <mergeCell ref="B55:C55"/>
    <mergeCell ref="B56:C56"/>
    <mergeCell ref="B58:C58"/>
    <mergeCell ref="G42:J43"/>
    <mergeCell ref="B43:C43"/>
    <mergeCell ref="B47:C47"/>
    <mergeCell ref="B48:C48"/>
    <mergeCell ref="B50:E50"/>
    <mergeCell ref="B51:C51"/>
    <mergeCell ref="B65:C65"/>
    <mergeCell ref="B66:C66"/>
    <mergeCell ref="B70:C70"/>
    <mergeCell ref="B74:C74"/>
    <mergeCell ref="B76:C76"/>
    <mergeCell ref="H76:L76"/>
    <mergeCell ref="B59:C59"/>
    <mergeCell ref="B60:C60"/>
    <mergeCell ref="B61:C61"/>
    <mergeCell ref="B62:C62"/>
    <mergeCell ref="B63:C63"/>
    <mergeCell ref="B64:C64"/>
    <mergeCell ref="H80:J80"/>
    <mergeCell ref="K80:L80"/>
    <mergeCell ref="H81:J81"/>
    <mergeCell ref="K81:L81"/>
    <mergeCell ref="H82:J82"/>
    <mergeCell ref="K82:L82"/>
    <mergeCell ref="H77:J77"/>
    <mergeCell ref="K77:L77"/>
    <mergeCell ref="B78:C78"/>
    <mergeCell ref="H78:J78"/>
    <mergeCell ref="K78:L78"/>
    <mergeCell ref="H79:J79"/>
    <mergeCell ref="K79:L79"/>
    <mergeCell ref="H86:J86"/>
    <mergeCell ref="K86:L86"/>
    <mergeCell ref="H87:J87"/>
    <mergeCell ref="K87:L87"/>
    <mergeCell ref="H88:L88"/>
    <mergeCell ref="B91:C91"/>
    <mergeCell ref="H83:J83"/>
    <mergeCell ref="K83:L83"/>
    <mergeCell ref="H84:J84"/>
    <mergeCell ref="K84:L84"/>
    <mergeCell ref="H85:J85"/>
    <mergeCell ref="K85:L85"/>
    <mergeCell ref="B108:C108"/>
    <mergeCell ref="H108:L108"/>
    <mergeCell ref="H109:J109"/>
    <mergeCell ref="K109:L109"/>
    <mergeCell ref="B110:C110"/>
    <mergeCell ref="H110:J110"/>
    <mergeCell ref="K110:L110"/>
    <mergeCell ref="B92:C92"/>
    <mergeCell ref="B94:J94"/>
    <mergeCell ref="B96:J96"/>
    <mergeCell ref="B101:C101"/>
    <mergeCell ref="B103:C103"/>
    <mergeCell ref="B106:C106"/>
    <mergeCell ref="H114:J114"/>
    <mergeCell ref="K114:L114"/>
    <mergeCell ref="H115:J115"/>
    <mergeCell ref="K115:L115"/>
    <mergeCell ref="H116:J116"/>
    <mergeCell ref="K116:L116"/>
    <mergeCell ref="H111:J111"/>
    <mergeCell ref="K111:L111"/>
    <mergeCell ref="H112:J112"/>
    <mergeCell ref="K112:L112"/>
    <mergeCell ref="H113:J113"/>
    <mergeCell ref="K113:L113"/>
    <mergeCell ref="H120:L120"/>
    <mergeCell ref="B123:C123"/>
    <mergeCell ref="B125:J125"/>
    <mergeCell ref="B127:J127"/>
    <mergeCell ref="H117:J117"/>
    <mergeCell ref="K117:L117"/>
    <mergeCell ref="H118:J118"/>
    <mergeCell ref="K118:L118"/>
    <mergeCell ref="H119:J119"/>
    <mergeCell ref="K119:L119"/>
  </mergeCells>
  <conditionalFormatting sqref="B94:J94">
    <cfRule type="expression" dxfId="42" priority="3">
      <formula>$F$91&lt;$E$28</formula>
    </cfRule>
    <cfRule type="expression" dxfId="41" priority="4">
      <formula>$H$117&lt;$F$26</formula>
    </cfRule>
  </conditionalFormatting>
  <conditionalFormatting sqref="B125:J125">
    <cfRule type="expression" dxfId="40" priority="1">
      <formula>$F$123&lt;$E$28</formula>
    </cfRule>
    <cfRule type="expression" dxfId="39" priority="2">
      <formula>$F$123&lt;$E$28</formula>
    </cfRule>
  </conditionalFormatting>
  <conditionalFormatting sqref="B127:J127">
    <cfRule type="expression" dxfId="38" priority="5">
      <formula>F103&lt;E26</formula>
    </cfRule>
    <cfRule type="expression" dxfId="37" priority="6">
      <formula>"F82&lt;E22"</formula>
    </cfRule>
  </conditionalFormatting>
  <pageMargins left="0.7" right="0.7" top="0.75" bottom="0.75" header="0.3" footer="0.3"/>
  <pageSetup paperSize="9" scale="6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20"/>
  <sheetViews>
    <sheetView workbookViewId="0">
      <selection activeCell="P14" sqref="P14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88.5" customHeight="1" thickBot="1" x14ac:dyDescent="0.25">
      <c r="A1" s="351" t="s">
        <v>217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256" ht="53.25" customHeight="1" thickBot="1" x14ac:dyDescent="0.25">
      <c r="A2" s="306" t="s">
        <v>121</v>
      </c>
      <c r="B2" s="307"/>
      <c r="C2" s="307"/>
      <c r="D2" s="307"/>
      <c r="E2" s="307"/>
      <c r="F2" s="307"/>
      <c r="G2" s="307"/>
      <c r="H2" s="307"/>
      <c r="I2" s="307"/>
      <c r="J2" s="307"/>
      <c r="K2" s="308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7.25" customHeight="1" thickBot="1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247" t="s">
        <v>209</v>
      </c>
      <c r="B4" s="248"/>
      <c r="C4" s="248"/>
      <c r="D4" s="248"/>
      <c r="E4" s="248"/>
      <c r="F4" s="248"/>
      <c r="G4" s="248"/>
      <c r="H4" s="248"/>
      <c r="I4" s="248"/>
      <c r="J4" s="248"/>
      <c r="K4" s="249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4" customHeight="1" thickBot="1" x14ac:dyDescent="0.25">
      <c r="A5" s="183" t="s">
        <v>212</v>
      </c>
      <c r="B5" s="184"/>
      <c r="C5" s="184"/>
      <c r="D5" s="184"/>
      <c r="E5" s="184"/>
      <c r="F5" s="184"/>
      <c r="G5" s="184"/>
      <c r="H5" s="184"/>
      <c r="I5" s="184"/>
      <c r="J5" s="184"/>
      <c r="K5" s="18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26.25" customHeight="1" x14ac:dyDescent="0.2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x14ac:dyDescent="0.2">
      <c r="B7" s="32" t="s">
        <v>36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A8" s="32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.75" thickBot="1" x14ac:dyDescent="0.25">
      <c r="B9" s="43" t="s">
        <v>39</v>
      </c>
      <c r="C9" s="44"/>
      <c r="D9" s="44"/>
      <c r="E9" s="45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5" t="s">
        <v>37</v>
      </c>
      <c r="C10" s="149"/>
      <c r="E10" s="80"/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2" t="s">
        <v>38</v>
      </c>
      <c r="C11" s="150" t="s">
        <v>42</v>
      </c>
      <c r="E11" s="1" t="s">
        <v>102</v>
      </c>
      <c r="N11" s="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3"/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 t="s">
        <v>149</v>
      </c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x14ac:dyDescent="0.2">
      <c r="B14" s="12"/>
      <c r="C14" s="30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.75" thickBot="1" x14ac:dyDescent="0.25"/>
    <row r="16" spans="1:256" x14ac:dyDescent="0.2">
      <c r="B16" s="309" t="s">
        <v>152</v>
      </c>
      <c r="C16" s="310"/>
      <c r="D16" s="78" t="s">
        <v>24</v>
      </c>
      <c r="E16" s="78" t="s">
        <v>47</v>
      </c>
      <c r="F16" s="157">
        <v>100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256" x14ac:dyDescent="0.2">
      <c r="B17" s="311" t="s">
        <v>8</v>
      </c>
      <c r="C17" s="312"/>
      <c r="D17" s="4" t="s">
        <v>9</v>
      </c>
      <c r="E17" s="4" t="s">
        <v>10</v>
      </c>
      <c r="F17" s="158">
        <v>15</v>
      </c>
      <c r="H17" s="151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2:256" x14ac:dyDescent="0.2">
      <c r="B18" s="318" t="s">
        <v>16</v>
      </c>
      <c r="C18" s="319"/>
      <c r="D18" s="27" t="s">
        <v>139</v>
      </c>
      <c r="E18" s="172" t="s">
        <v>213</v>
      </c>
      <c r="F18" s="158">
        <v>60</v>
      </c>
      <c r="G18" s="174">
        <f>IF(F18&lt;&gt;0,F18,3600*F19/F34)</f>
        <v>60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2:256" ht="15.75" thickBot="1" x14ac:dyDescent="0.25">
      <c r="B19" s="320"/>
      <c r="C19" s="321"/>
      <c r="D19" s="29" t="s">
        <v>139</v>
      </c>
      <c r="E19" s="173" t="s">
        <v>97</v>
      </c>
      <c r="F19" s="159"/>
      <c r="G19" s="328" t="s">
        <v>214</v>
      </c>
      <c r="H19" s="329"/>
      <c r="I19" s="329"/>
      <c r="J19" s="32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2:256" ht="15.75" thickBot="1" x14ac:dyDescent="0.25"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2:256" ht="15.75" thickBot="1" x14ac:dyDescent="0.25">
      <c r="B21" s="98" t="s">
        <v>133</v>
      </c>
      <c r="C21" s="99"/>
      <c r="D21" s="99"/>
      <c r="E21" s="45"/>
      <c r="F21" s="8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2:256" x14ac:dyDescent="0.2">
      <c r="B22" s="208" t="s">
        <v>132</v>
      </c>
      <c r="C22" s="208"/>
      <c r="D22" s="154"/>
      <c r="F22" s="8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2:256" x14ac:dyDescent="0.2">
      <c r="B23" s="208" t="s">
        <v>130</v>
      </c>
      <c r="C23" s="208"/>
      <c r="D23" s="154"/>
      <c r="F23" s="8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2:256" x14ac:dyDescent="0.2">
      <c r="B24" s="314" t="s">
        <v>131</v>
      </c>
      <c r="C24" s="314"/>
      <c r="D24" s="155"/>
      <c r="F24" s="8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2:256" x14ac:dyDescent="0.2">
      <c r="B25" s="176" t="s">
        <v>153</v>
      </c>
      <c r="C25" s="176"/>
      <c r="D25" s="155">
        <v>10</v>
      </c>
      <c r="E25" s="1" t="s">
        <v>154</v>
      </c>
      <c r="F25" s="8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2:256" x14ac:dyDescent="0.2">
      <c r="B26" s="100" t="s">
        <v>144</v>
      </c>
      <c r="C26" s="100"/>
      <c r="D26" s="101" t="s">
        <v>145</v>
      </c>
      <c r="E26" s="102">
        <f>IF(D22&lt;&gt;0,25,IF(D23&lt;&gt;0,20,IF(D24&lt;&gt;0,15,D25)))</f>
        <v>10</v>
      </c>
      <c r="F26" s="8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2:256" ht="15.75" thickBot="1" x14ac:dyDescent="0.25">
      <c r="B27" s="97"/>
      <c r="C27" s="97"/>
      <c r="D27" s="177"/>
      <c r="E27" s="7"/>
      <c r="F27" s="8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2:256" x14ac:dyDescent="0.2">
      <c r="B28" s="106" t="s">
        <v>172</v>
      </c>
      <c r="C28" s="114" t="s">
        <v>173</v>
      </c>
      <c r="D28" s="101" t="s">
        <v>47</v>
      </c>
      <c r="E28" s="154">
        <v>5</v>
      </c>
      <c r="F28" s="264" t="s">
        <v>211</v>
      </c>
      <c r="G28" s="265"/>
      <c r="H28" s="315" t="s">
        <v>176</v>
      </c>
      <c r="I28" s="316"/>
      <c r="J28" s="316" t="s">
        <v>177</v>
      </c>
      <c r="K28" s="317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2:256" x14ac:dyDescent="0.2">
      <c r="B29" s="97"/>
      <c r="C29" s="97"/>
      <c r="D29" s="177"/>
      <c r="E29" s="7"/>
      <c r="F29" s="8"/>
      <c r="H29" s="256" t="s">
        <v>178</v>
      </c>
      <c r="I29" s="268"/>
      <c r="J29" s="268" t="s">
        <v>181</v>
      </c>
      <c r="K29" s="26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2:256" x14ac:dyDescent="0.2">
      <c r="B30" s="97"/>
      <c r="C30" s="97"/>
      <c r="D30" s="177"/>
      <c r="E30" s="7"/>
      <c r="F30" s="8"/>
      <c r="H30" s="256" t="s">
        <v>179</v>
      </c>
      <c r="I30" s="268"/>
      <c r="J30" s="268" t="s">
        <v>182</v>
      </c>
      <c r="K30" s="269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2:256" ht="15.75" thickBot="1" x14ac:dyDescent="0.25">
      <c r="B31" s="12" t="s">
        <v>44</v>
      </c>
      <c r="C31" s="3"/>
      <c r="D31" s="3"/>
      <c r="E31" s="3"/>
      <c r="F31" s="3"/>
      <c r="H31" s="273" t="s">
        <v>180</v>
      </c>
      <c r="I31" s="274"/>
      <c r="J31" s="274" t="s">
        <v>183</v>
      </c>
      <c r="K31" s="275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2:256" x14ac:dyDescent="0.2">
      <c r="B32" s="3"/>
      <c r="C32" s="3"/>
      <c r="D32" s="3"/>
      <c r="E32" s="3"/>
      <c r="F32" s="3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x14ac:dyDescent="0.2">
      <c r="B33" s="221" t="s">
        <v>0</v>
      </c>
      <c r="C33" s="222"/>
      <c r="D33" s="4" t="s">
        <v>1</v>
      </c>
      <c r="E33" s="4" t="s">
        <v>2</v>
      </c>
      <c r="F33" s="47">
        <f>IF(C10 &lt;&gt;0,101800,43700)</f>
        <v>43700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40</v>
      </c>
      <c r="C34" s="222"/>
      <c r="D34" s="4" t="s">
        <v>41</v>
      </c>
      <c r="E34" s="4" t="s">
        <v>2</v>
      </c>
      <c r="F34" s="47">
        <f>IF(C10&lt;&gt;0,93600,39500)</f>
        <v>39500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3</v>
      </c>
      <c r="C35" s="222"/>
      <c r="D35" s="4" t="s">
        <v>4</v>
      </c>
      <c r="E35" s="4" t="s">
        <v>5</v>
      </c>
      <c r="F35" s="46">
        <f>IF(C10&lt;&gt;0,1.555,0.61)</f>
        <v>0.61</v>
      </c>
      <c r="H35" s="123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6</v>
      </c>
      <c r="C36" s="222"/>
      <c r="D36" s="11" t="s">
        <v>21</v>
      </c>
      <c r="E36" s="4" t="s">
        <v>155</v>
      </c>
      <c r="F36" s="46">
        <f>IF(C10&lt;&gt;0,0.8,1.06)</f>
        <v>1.06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221" t="s">
        <v>45</v>
      </c>
      <c r="C37" s="222"/>
      <c r="D37" s="17" t="s">
        <v>18</v>
      </c>
      <c r="E37" s="4" t="s">
        <v>43</v>
      </c>
      <c r="F37" s="46">
        <f>IF(C10&lt;&gt;0,2.02,0.82)</f>
        <v>0.82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x14ac:dyDescent="0.2">
      <c r="B38" s="97"/>
      <c r="C38" s="97"/>
      <c r="D38" s="11"/>
      <c r="E38" s="7"/>
      <c r="F38" s="103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.75" thickBot="1" x14ac:dyDescent="0.25"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4.75" customHeight="1" thickBot="1" x14ac:dyDescent="0.35">
      <c r="A40" s="135" t="s">
        <v>190</v>
      </c>
      <c r="B40" s="131" t="s">
        <v>136</v>
      </c>
      <c r="C40" s="132"/>
      <c r="D40" s="133"/>
      <c r="E40" s="133"/>
      <c r="F40" s="133"/>
      <c r="G40" s="133"/>
      <c r="H40" s="133"/>
      <c r="I40" s="133"/>
      <c r="J40" s="133"/>
      <c r="K40" s="134"/>
      <c r="L40" s="3"/>
      <c r="M40" s="12"/>
      <c r="N40" s="9"/>
      <c r="O40" s="9"/>
      <c r="P40" s="9"/>
      <c r="Q40" s="9"/>
      <c r="R40" s="9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313" t="s">
        <v>137</v>
      </c>
      <c r="C42" s="313"/>
      <c r="D42" s="107" t="s">
        <v>138</v>
      </c>
      <c r="E42" s="107" t="s">
        <v>143</v>
      </c>
      <c r="F42" s="108">
        <f>G18*(273+F17)/((1+F16/1000)*273)</f>
        <v>57.542457542457541</v>
      </c>
      <c r="G42" s="330" t="s">
        <v>215</v>
      </c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x14ac:dyDescent="0.2">
      <c r="B43" s="267" t="s">
        <v>84</v>
      </c>
      <c r="C43" s="267"/>
      <c r="D43" s="111"/>
      <c r="E43" s="109" t="s">
        <v>97</v>
      </c>
      <c r="F43" s="110">
        <f>IF(F19&lt;&gt;0,F19,F34*F18/3600)</f>
        <v>658.33333333333337</v>
      </c>
      <c r="G43" s="330"/>
      <c r="H43" s="331"/>
      <c r="I43" s="331"/>
      <c r="J43" s="331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.75" thickBot="1" x14ac:dyDescent="0.25"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24.75" customHeight="1" thickBot="1" x14ac:dyDescent="0.35">
      <c r="A45" s="135" t="s">
        <v>189</v>
      </c>
      <c r="B45" s="131" t="s">
        <v>140</v>
      </c>
      <c r="C45" s="132"/>
      <c r="D45" s="133"/>
      <c r="E45" s="133"/>
      <c r="F45" s="133"/>
      <c r="G45" s="133"/>
      <c r="H45" s="133"/>
      <c r="I45" s="133"/>
      <c r="J45" s="133"/>
      <c r="K45" s="134"/>
      <c r="L45" s="3"/>
      <c r="M45" s="12"/>
      <c r="N45" s="9"/>
      <c r="O45" s="9"/>
      <c r="P45" s="9"/>
      <c r="Q45" s="9"/>
      <c r="R45" s="9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327" t="s">
        <v>141</v>
      </c>
      <c r="C47" s="327"/>
      <c r="D47" s="145" t="s">
        <v>142</v>
      </c>
      <c r="E47" s="145" t="s">
        <v>96</v>
      </c>
      <c r="F47" s="146">
        <f>18.8*SQRT(F42/E26)</f>
        <v>45.097456905912331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x14ac:dyDescent="0.2">
      <c r="B48" s="266" t="s">
        <v>100</v>
      </c>
      <c r="C48" s="266"/>
      <c r="D48" s="126" t="s">
        <v>184</v>
      </c>
      <c r="E48" s="127" t="s">
        <v>99</v>
      </c>
      <c r="F48" s="110">
        <f>$F$42*4/(3600*3.14* ($F$47/1000)^2)</f>
        <v>10.011799506426291</v>
      </c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256" ht="15.75" thickBot="1" x14ac:dyDescent="0.25">
      <c r="B49" s="142"/>
      <c r="C49" s="142"/>
      <c r="D49" s="143"/>
      <c r="E49" s="144"/>
      <c r="F49" s="124"/>
      <c r="H49" s="124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2:256" ht="15.75" thickBot="1" x14ac:dyDescent="0.25">
      <c r="B50" s="323" t="s">
        <v>193</v>
      </c>
      <c r="C50" s="324"/>
      <c r="D50" s="324"/>
      <c r="E50" s="325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2:256" x14ac:dyDescent="0.2">
      <c r="B51" s="332" t="s">
        <v>194</v>
      </c>
      <c r="C51" s="332"/>
      <c r="D51" s="147" t="s">
        <v>78</v>
      </c>
      <c r="E51" s="149">
        <v>100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2:256" x14ac:dyDescent="0.2">
      <c r="B52" s="208" t="s">
        <v>195</v>
      </c>
      <c r="C52" s="208"/>
      <c r="D52" s="27" t="s">
        <v>208</v>
      </c>
      <c r="E52" s="150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2:256" x14ac:dyDescent="0.2">
      <c r="B53" s="208" t="s">
        <v>196</v>
      </c>
      <c r="C53" s="208"/>
      <c r="D53" s="27" t="s">
        <v>208</v>
      </c>
      <c r="E53" s="150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2:256" x14ac:dyDescent="0.2">
      <c r="B54" s="208" t="s">
        <v>197</v>
      </c>
      <c r="C54" s="208"/>
      <c r="D54" s="27" t="s">
        <v>208</v>
      </c>
      <c r="E54" s="150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2:256" x14ac:dyDescent="0.2">
      <c r="B55" s="208" t="s">
        <v>198</v>
      </c>
      <c r="C55" s="208"/>
      <c r="D55" s="27" t="s">
        <v>208</v>
      </c>
      <c r="E55" s="150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2:256" x14ac:dyDescent="0.2">
      <c r="B56" s="208" t="s">
        <v>199</v>
      </c>
      <c r="C56" s="208"/>
      <c r="D56" s="27" t="s">
        <v>208</v>
      </c>
      <c r="E56" s="150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2:256" x14ac:dyDescent="0.2">
      <c r="B57" s="2" t="s">
        <v>200</v>
      </c>
      <c r="C57" s="141"/>
      <c r="D57" s="27" t="s">
        <v>208</v>
      </c>
      <c r="E57" s="150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2:256" x14ac:dyDescent="0.2">
      <c r="B58" s="208" t="s">
        <v>201</v>
      </c>
      <c r="C58" s="208"/>
      <c r="D58" s="27" t="s">
        <v>208</v>
      </c>
      <c r="E58" s="150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2:256" x14ac:dyDescent="0.2">
      <c r="B59" s="208" t="s">
        <v>202</v>
      </c>
      <c r="C59" s="208"/>
      <c r="D59" s="27" t="s">
        <v>208</v>
      </c>
      <c r="E59" s="150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2:256" x14ac:dyDescent="0.2">
      <c r="B60" s="208" t="s">
        <v>203</v>
      </c>
      <c r="C60" s="208"/>
      <c r="D60" s="27" t="s">
        <v>208</v>
      </c>
      <c r="E60" s="15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2:256" x14ac:dyDescent="0.2">
      <c r="B61" s="208" t="s">
        <v>204</v>
      </c>
      <c r="C61" s="208"/>
      <c r="D61" s="27" t="s">
        <v>208</v>
      </c>
      <c r="E61" s="150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2:256" x14ac:dyDescent="0.2">
      <c r="B62" s="208" t="s">
        <v>205</v>
      </c>
      <c r="C62" s="208"/>
      <c r="D62" s="27" t="s">
        <v>208</v>
      </c>
      <c r="E62" s="150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2:256" x14ac:dyDescent="0.2">
      <c r="B63" s="208" t="s">
        <v>206</v>
      </c>
      <c r="C63" s="208"/>
      <c r="D63" s="27" t="s">
        <v>208</v>
      </c>
      <c r="E63" s="150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2:256" x14ac:dyDescent="0.2">
      <c r="B64" s="208" t="s">
        <v>207</v>
      </c>
      <c r="C64" s="208"/>
      <c r="D64" s="27" t="s">
        <v>208</v>
      </c>
      <c r="E64" s="150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x14ac:dyDescent="0.2">
      <c r="B65" s="322"/>
      <c r="C65" s="322"/>
      <c r="D65" s="177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x14ac:dyDescent="0.2">
      <c r="B66" s="326" t="s">
        <v>192</v>
      </c>
      <c r="C66" s="326"/>
      <c r="D66" s="139" t="s">
        <v>13</v>
      </c>
      <c r="E66" s="140" t="s">
        <v>78</v>
      </c>
      <c r="F66" s="148">
        <f>E51+(166*E52+70*E53+25*E54+60*E55+40*E56+25*E57+17*E58+16*E59+18*E60+25*E61+100*E62+100*E63+25*E64)*F47/1000</f>
        <v>100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.75" thickBot="1" x14ac:dyDescent="0.25"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24.75" customHeight="1" thickBot="1" x14ac:dyDescent="0.35">
      <c r="A68" s="135" t="s">
        <v>188</v>
      </c>
      <c r="B68" s="131" t="s">
        <v>146</v>
      </c>
      <c r="C68" s="136"/>
      <c r="D68" s="137"/>
      <c r="E68" s="137"/>
      <c r="F68" s="137"/>
      <c r="G68" s="137"/>
      <c r="H68" s="137"/>
      <c r="I68" s="137"/>
      <c r="J68" s="137"/>
      <c r="K68" s="138"/>
      <c r="L68" s="3"/>
      <c r="M68" s="12"/>
      <c r="N68" s="9"/>
      <c r="O68" s="9"/>
      <c r="P68" s="9"/>
      <c r="Q68" s="9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B70" s="286" t="s">
        <v>147</v>
      </c>
      <c r="C70" s="286"/>
      <c r="D70" s="101" t="s">
        <v>148</v>
      </c>
      <c r="E70" s="101" t="s">
        <v>47</v>
      </c>
      <c r="F70" s="104">
        <f>0.5*F35*F66*F18*E26^2/(F47*F42)</f>
        <v>70.519728491602166</v>
      </c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x14ac:dyDescent="0.2">
      <c r="B74" s="288" t="s">
        <v>150</v>
      </c>
      <c r="C74" s="288"/>
      <c r="D74" s="109" t="s">
        <v>151</v>
      </c>
      <c r="E74" s="120" t="s">
        <v>171</v>
      </c>
      <c r="F74" s="113">
        <f>IF(F18&lt;&gt;0,0.45*100000*F18*F35/(F36*F47),0.45*100000*F19*3600*F35/(F34*F36*F47))</f>
        <v>34453.685229908355</v>
      </c>
      <c r="G74" s="113">
        <f>0.45*100000*F18*F35/(F36*F47)</f>
        <v>34453.685229908355</v>
      </c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289" t="s">
        <v>156</v>
      </c>
      <c r="C76" s="290"/>
      <c r="D76" s="2" t="s">
        <v>20</v>
      </c>
      <c r="E76" s="2" t="s">
        <v>116</v>
      </c>
      <c r="F76" s="153">
        <v>0.08</v>
      </c>
      <c r="H76" s="291" t="s">
        <v>169</v>
      </c>
      <c r="I76" s="292"/>
      <c r="J76" s="292"/>
      <c r="K76" s="292"/>
      <c r="L76" s="293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.75" thickBot="1" x14ac:dyDescent="0.25">
      <c r="B77" s="115"/>
      <c r="C77" s="115"/>
      <c r="D77" s="3"/>
      <c r="E77" s="3"/>
      <c r="F77" s="8"/>
      <c r="H77" s="295" t="s">
        <v>33</v>
      </c>
      <c r="I77" s="296"/>
      <c r="J77" s="297"/>
      <c r="K77" s="298" t="s">
        <v>34</v>
      </c>
      <c r="L77" s="299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x14ac:dyDescent="0.2">
      <c r="A78" s="9"/>
      <c r="B78" s="300" t="s">
        <v>170</v>
      </c>
      <c r="C78" s="300"/>
      <c r="D78" s="3"/>
      <c r="E78" s="3"/>
      <c r="F78" s="3"/>
      <c r="G78" s="3"/>
      <c r="H78" s="301" t="s">
        <v>25</v>
      </c>
      <c r="I78" s="302"/>
      <c r="J78" s="303"/>
      <c r="K78" s="304"/>
      <c r="L78" s="305"/>
      <c r="M78" s="9"/>
      <c r="N78" s="9"/>
      <c r="O78" s="9"/>
      <c r="P78" s="9"/>
      <c r="Q78" s="9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customHeight="1" x14ac:dyDescent="0.2">
      <c r="B79" s="116" t="s">
        <v>157</v>
      </c>
      <c r="C79" s="116"/>
      <c r="D79" s="116"/>
      <c r="E79" s="116"/>
      <c r="F79" s="117">
        <f>IF(AND(AND($F$43&lt;&gt;0,$F$47&lt;&gt;0),$F$16&lt;&gt;0),-4*LOG10($F$76/(3.7*$F$47)+5.1286/($F$74^0.89)),"")</f>
        <v>12.090598728865075</v>
      </c>
      <c r="H79" s="250" t="s">
        <v>26</v>
      </c>
      <c r="I79" s="281"/>
      <c r="J79" s="282"/>
      <c r="K79" s="270">
        <v>0.01</v>
      </c>
      <c r="L79" s="271"/>
    </row>
    <row r="80" spans="1:256" ht="15" customHeight="1" x14ac:dyDescent="0.2">
      <c r="A80" s="3"/>
      <c r="B80" s="116" t="s">
        <v>158</v>
      </c>
      <c r="C80" s="116"/>
      <c r="D80" s="116"/>
      <c r="E80" s="116"/>
      <c r="F80" s="117">
        <f t="shared" ref="F80:F88" si="0">IF(AND(AND($F$43&lt;&gt;0,$F$47&lt;&gt;0),$F$16&lt;&gt;0),-4*LOG10($F$76/(3.7*$F$47)+1.413*F79/($F$74^0.89)),"")</f>
        <v>10.757897053732833</v>
      </c>
      <c r="G80" s="3"/>
      <c r="H80" s="256" t="s">
        <v>27</v>
      </c>
      <c r="I80" s="268"/>
      <c r="J80" s="269"/>
      <c r="K80" s="270">
        <v>0.05</v>
      </c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159</v>
      </c>
      <c r="C81" s="116"/>
      <c r="D81" s="116"/>
      <c r="E81" s="116"/>
      <c r="F81" s="117">
        <f t="shared" si="0"/>
        <v>10.911024947198076</v>
      </c>
      <c r="G81" s="3"/>
      <c r="H81" s="283"/>
      <c r="I81" s="284"/>
      <c r="J81" s="285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160</v>
      </c>
      <c r="C82" s="116"/>
      <c r="D82" s="116"/>
      <c r="E82" s="116"/>
      <c r="F82" s="117">
        <f t="shared" si="0"/>
        <v>10.892728440373022</v>
      </c>
      <c r="G82" s="3"/>
      <c r="H82" s="278" t="s">
        <v>28</v>
      </c>
      <c r="I82" s="279"/>
      <c r="J82" s="280"/>
      <c r="K82" s="270"/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161</v>
      </c>
      <c r="C83" s="116"/>
      <c r="D83" s="116"/>
      <c r="E83" s="116"/>
      <c r="F83" s="117">
        <f t="shared" si="0"/>
        <v>10.89490449091269</v>
      </c>
      <c r="G83" s="3"/>
      <c r="H83" s="256" t="s">
        <v>29</v>
      </c>
      <c r="I83" s="268"/>
      <c r="J83" s="269"/>
      <c r="K83" s="270">
        <v>0.04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162</v>
      </c>
      <c r="C84" s="116"/>
      <c r="D84" s="116"/>
      <c r="E84" s="116"/>
      <c r="F84" s="117">
        <f t="shared" si="0"/>
        <v>10.894645544773821</v>
      </c>
      <c r="G84" s="3"/>
      <c r="H84" s="256" t="s">
        <v>30</v>
      </c>
      <c r="I84" s="268"/>
      <c r="J84" s="269"/>
      <c r="K84" s="270">
        <v>0.08</v>
      </c>
      <c r="L84" s="271"/>
      <c r="M84" s="9"/>
      <c r="N84" s="9"/>
      <c r="O84" s="9"/>
      <c r="P84" s="9"/>
      <c r="Q84" s="9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163</v>
      </c>
      <c r="C85" s="116"/>
      <c r="D85" s="116"/>
      <c r="E85" s="116"/>
      <c r="F85" s="117">
        <f t="shared" si="0"/>
        <v>10.894676356879957</v>
      </c>
      <c r="G85" s="3"/>
      <c r="H85" s="256" t="s">
        <v>31</v>
      </c>
      <c r="I85" s="268"/>
      <c r="J85" s="269"/>
      <c r="K85" s="270">
        <v>0.4</v>
      </c>
      <c r="L85" s="271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x14ac:dyDescent="0.2">
      <c r="A86" s="3"/>
      <c r="B86" s="116" t="s">
        <v>164</v>
      </c>
      <c r="C86" s="116"/>
      <c r="D86" s="116"/>
      <c r="E86" s="116"/>
      <c r="F86" s="117">
        <f t="shared" si="0"/>
        <v>10.894672690506299</v>
      </c>
      <c r="G86" s="3"/>
      <c r="H86" s="256" t="s">
        <v>32</v>
      </c>
      <c r="I86" s="268"/>
      <c r="J86" s="269"/>
      <c r="K86" s="272">
        <v>0.02</v>
      </c>
      <c r="L86" s="23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6" t="s">
        <v>165</v>
      </c>
      <c r="C87" s="116"/>
      <c r="D87" s="116"/>
      <c r="E87" s="116"/>
      <c r="F87" s="117">
        <f t="shared" si="0"/>
        <v>10.894673126772592</v>
      </c>
      <c r="G87" s="3"/>
      <c r="H87" s="273" t="s">
        <v>129</v>
      </c>
      <c r="I87" s="274"/>
      <c r="J87" s="275"/>
      <c r="K87" s="276">
        <v>2E-3</v>
      </c>
      <c r="L87" s="277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customHeight="1" thickBot="1" x14ac:dyDescent="0.25">
      <c r="A88" s="3"/>
      <c r="B88" s="111" t="s">
        <v>166</v>
      </c>
      <c r="C88" s="111"/>
      <c r="D88" s="111"/>
      <c r="E88" s="111"/>
      <c r="F88" s="118">
        <f t="shared" si="0"/>
        <v>10.894673074860725</v>
      </c>
      <c r="G88" s="3"/>
      <c r="H88" s="240" t="s">
        <v>35</v>
      </c>
      <c r="I88" s="241"/>
      <c r="J88" s="241"/>
      <c r="K88" s="241"/>
      <c r="L88" s="24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86" t="s">
        <v>167</v>
      </c>
      <c r="C91" s="286"/>
      <c r="D91" s="114" t="s">
        <v>168</v>
      </c>
      <c r="E91" s="101" t="s">
        <v>47</v>
      </c>
      <c r="F91" s="102">
        <f>F70*50/F88^2</f>
        <v>29.706550907421992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263" t="s">
        <v>141</v>
      </c>
      <c r="C92" s="263"/>
      <c r="D92" s="125" t="s">
        <v>142</v>
      </c>
      <c r="E92" s="125" t="s">
        <v>96</v>
      </c>
      <c r="F92" s="168">
        <f>F47</f>
        <v>45.097456905912331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20.25" x14ac:dyDescent="0.2">
      <c r="A94" s="3"/>
      <c r="B94" s="186" t="str">
        <f>IF(F91&gt;=E28,"Tryktab for stort. Gå til pkt 4. nedenfor","Tryktab mindre end tilladeligt tryktab. Rørdiameter ok")</f>
        <v>Tryktab for stort. Gå til pkt 4. nedenfor</v>
      </c>
      <c r="C94" s="186"/>
      <c r="D94" s="186"/>
      <c r="E94" s="186"/>
      <c r="F94" s="186"/>
      <c r="G94" s="186"/>
      <c r="H94" s="186"/>
      <c r="I94" s="186"/>
      <c r="J94" s="186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8" x14ac:dyDescent="0.25">
      <c r="A96" s="3"/>
      <c r="B96" s="294" t="s">
        <v>186</v>
      </c>
      <c r="C96" s="294"/>
      <c r="D96" s="294"/>
      <c r="E96" s="294"/>
      <c r="F96" s="294"/>
      <c r="G96" s="294"/>
      <c r="H96" s="294"/>
      <c r="I96" s="294"/>
      <c r="J96" s="29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.75" thickBo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24.75" customHeight="1" thickBot="1" x14ac:dyDescent="0.35">
      <c r="A98" s="135" t="s">
        <v>187</v>
      </c>
      <c r="B98" s="131" t="s">
        <v>191</v>
      </c>
      <c r="C98" s="136"/>
      <c r="D98" s="137"/>
      <c r="E98" s="137"/>
      <c r="F98" s="137"/>
      <c r="G98" s="137"/>
      <c r="H98" s="137"/>
      <c r="I98" s="137"/>
      <c r="J98" s="137"/>
      <c r="K98" s="138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175" t="s">
        <v>185</v>
      </c>
      <c r="C100" s="175"/>
      <c r="D100" s="114" t="s">
        <v>15</v>
      </c>
      <c r="E100" s="101" t="s">
        <v>96</v>
      </c>
      <c r="F100" s="104">
        <f>(($F$91/$E$28)^0.2)*$F$47</f>
        <v>64.406321787102527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x14ac:dyDescent="0.2">
      <c r="B101" s="287" t="s">
        <v>210</v>
      </c>
      <c r="C101" s="287"/>
      <c r="D101" s="128" t="s">
        <v>15</v>
      </c>
      <c r="E101" s="125" t="s">
        <v>96</v>
      </c>
      <c r="F101" s="156">
        <v>65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G102" s="1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.75" thickBot="1" x14ac:dyDescent="0.25">
      <c r="B103" s="267" t="s">
        <v>100</v>
      </c>
      <c r="C103" s="267"/>
      <c r="D103" s="120" t="s">
        <v>184</v>
      </c>
      <c r="E103" s="109" t="s">
        <v>99</v>
      </c>
      <c r="F103" s="129">
        <f>$F$42*4/(3600*3.14* ($F$101/1000)^2)</f>
        <v>4.8193618464601764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x14ac:dyDescent="0.2">
      <c r="B106" s="288" t="s">
        <v>150</v>
      </c>
      <c r="C106" s="288"/>
      <c r="D106" s="109" t="s">
        <v>151</v>
      </c>
      <c r="E106" s="120" t="s">
        <v>171</v>
      </c>
      <c r="F106" s="113">
        <f>0.45*100000*$F$18*$F$35/($F$36*F101)</f>
        <v>23904.20899854862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289" t="s">
        <v>156</v>
      </c>
      <c r="C108" s="290"/>
      <c r="D108" s="2" t="s">
        <v>20</v>
      </c>
      <c r="E108" s="2" t="s">
        <v>116</v>
      </c>
      <c r="F108" s="153">
        <v>0.08</v>
      </c>
      <c r="H108" s="291" t="s">
        <v>169</v>
      </c>
      <c r="I108" s="292"/>
      <c r="J108" s="292"/>
      <c r="K108" s="292"/>
      <c r="L108" s="29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.75" thickBot="1" x14ac:dyDescent="0.25">
      <c r="B109" s="115"/>
      <c r="C109" s="115"/>
      <c r="D109" s="3"/>
      <c r="E109" s="3"/>
      <c r="F109" s="8"/>
      <c r="H109" s="295" t="s">
        <v>33</v>
      </c>
      <c r="I109" s="296"/>
      <c r="J109" s="297"/>
      <c r="K109" s="298" t="s">
        <v>34</v>
      </c>
      <c r="L109" s="29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A110" s="9"/>
      <c r="B110" s="300" t="s">
        <v>170</v>
      </c>
      <c r="C110" s="300"/>
      <c r="D110" s="3"/>
      <c r="E110" s="3"/>
      <c r="F110" s="3"/>
      <c r="G110" s="3"/>
      <c r="H110" s="301" t="s">
        <v>25</v>
      </c>
      <c r="I110" s="302"/>
      <c r="J110" s="303"/>
      <c r="K110" s="304"/>
      <c r="L110" s="30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B111" s="116" t="s">
        <v>157</v>
      </c>
      <c r="C111" s="116"/>
      <c r="D111" s="116"/>
      <c r="E111" s="116"/>
      <c r="F111" s="117">
        <f>IF(AND(AND($F$43&lt;&gt;0,$F$101&lt;&gt;0),$F$16&lt;&gt;0),-4*LOG10($F$108/(3.7*$F$101)+5.1286/($F$106^0.89)),"")</f>
        <v>12.029777904681618</v>
      </c>
      <c r="H111" s="250" t="s">
        <v>26</v>
      </c>
      <c r="I111" s="281"/>
      <c r="J111" s="282"/>
      <c r="K111" s="270">
        <v>0.01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158</v>
      </c>
      <c r="C112" s="116"/>
      <c r="D112" s="116"/>
      <c r="E112" s="116"/>
      <c r="F112" s="117">
        <f t="shared" ref="F112:F119" si="1">IF(AND(AND($F$43&lt;&gt;0,$F$101&lt;&gt;0),$F$16&lt;&gt;0),-4*LOG10($F$108/(3.7*$F$101)+1.413*F111/($F$106^0.89)),"")</f>
        <v>10.41646742804639</v>
      </c>
      <c r="G112" s="3"/>
      <c r="H112" s="256" t="s">
        <v>27</v>
      </c>
      <c r="I112" s="268"/>
      <c r="J112" s="269"/>
      <c r="K112" s="270">
        <v>0.05</v>
      </c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159</v>
      </c>
      <c r="C113" s="116"/>
      <c r="D113" s="116"/>
      <c r="E113" s="116"/>
      <c r="F113" s="117">
        <f t="shared" si="1"/>
        <v>10.631013918422838</v>
      </c>
      <c r="G113" s="3"/>
      <c r="H113" s="283"/>
      <c r="I113" s="284"/>
      <c r="J113" s="285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160</v>
      </c>
      <c r="C114" s="116"/>
      <c r="D114" s="116"/>
      <c r="E114" s="116"/>
      <c r="F114" s="117">
        <f t="shared" si="1"/>
        <v>10.600908095680284</v>
      </c>
      <c r="G114" s="3"/>
      <c r="H114" s="278" t="s">
        <v>28</v>
      </c>
      <c r="I114" s="279"/>
      <c r="J114" s="280"/>
      <c r="K114" s="270"/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161</v>
      </c>
      <c r="C115" s="116"/>
      <c r="D115" s="116"/>
      <c r="E115" s="116"/>
      <c r="F115" s="117">
        <f t="shared" si="1"/>
        <v>10.605101298196905</v>
      </c>
      <c r="G115" s="3"/>
      <c r="H115" s="256" t="s">
        <v>29</v>
      </c>
      <c r="I115" s="268"/>
      <c r="J115" s="269"/>
      <c r="K115" s="270">
        <v>0.04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162</v>
      </c>
      <c r="C116" s="116"/>
      <c r="D116" s="116"/>
      <c r="E116" s="116"/>
      <c r="F116" s="117">
        <f t="shared" si="1"/>
        <v>10.604516653050865</v>
      </c>
      <c r="G116" s="3"/>
      <c r="H116" s="256" t="s">
        <v>30</v>
      </c>
      <c r="I116" s="268"/>
      <c r="J116" s="269"/>
      <c r="K116" s="270">
        <v>0.08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163</v>
      </c>
      <c r="C117" s="116"/>
      <c r="D117" s="116"/>
      <c r="E117" s="116"/>
      <c r="F117" s="117">
        <f t="shared" si="1"/>
        <v>10.604598156496291</v>
      </c>
      <c r="G117" s="3"/>
      <c r="H117" s="256" t="s">
        <v>31</v>
      </c>
      <c r="I117" s="268"/>
      <c r="J117" s="269"/>
      <c r="K117" s="270">
        <v>0.4</v>
      </c>
      <c r="L117" s="271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x14ac:dyDescent="0.2">
      <c r="A118" s="3"/>
      <c r="B118" s="116" t="s">
        <v>164</v>
      </c>
      <c r="C118" s="116"/>
      <c r="D118" s="116"/>
      <c r="E118" s="116"/>
      <c r="F118" s="117">
        <f t="shared" si="1"/>
        <v>10.604586794141245</v>
      </c>
      <c r="G118" s="3"/>
      <c r="H118" s="256" t="s">
        <v>32</v>
      </c>
      <c r="I118" s="268"/>
      <c r="J118" s="269"/>
      <c r="K118" s="272">
        <v>0.02</v>
      </c>
      <c r="L118" s="23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6" t="s">
        <v>165</v>
      </c>
      <c r="C119" s="116"/>
      <c r="D119" s="116"/>
      <c r="E119" s="116"/>
      <c r="F119" s="117">
        <f t="shared" si="1"/>
        <v>10.604588378157088</v>
      </c>
      <c r="G119" s="3"/>
      <c r="H119" s="273" t="s">
        <v>129</v>
      </c>
      <c r="I119" s="274"/>
      <c r="J119" s="275"/>
      <c r="K119" s="276">
        <v>2E-3</v>
      </c>
      <c r="L119" s="27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.75" thickBot="1" x14ac:dyDescent="0.25">
      <c r="A120" s="3"/>
      <c r="B120" s="111" t="s">
        <v>166</v>
      </c>
      <c r="C120" s="111"/>
      <c r="D120" s="111"/>
      <c r="E120" s="111"/>
      <c r="F120" s="118">
        <f>IF(AND(AND($F$43&lt;&gt;0,$F$47&lt;&gt;0),$F$16&lt;&gt;0),-4*LOG10($F$108/(3.7*$F$47)+1.413*F119/($F$74^0.89)),"")</f>
        <v>10.92953815912718</v>
      </c>
      <c r="G120" s="3"/>
      <c r="H120" s="240" t="s">
        <v>35</v>
      </c>
      <c r="I120" s="241"/>
      <c r="J120" s="241"/>
      <c r="K120" s="241"/>
      <c r="L120" s="24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286" t="s">
        <v>167</v>
      </c>
      <c r="C123" s="286"/>
      <c r="D123" s="114" t="s">
        <v>168</v>
      </c>
      <c r="E123" s="101" t="s">
        <v>47</v>
      </c>
      <c r="F123" s="102">
        <f>3.24*F42*F18*F66*F35*1000000/(F120^2*F101^5)</f>
        <v>4.9231616618558887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20.25" x14ac:dyDescent="0.2">
      <c r="A125" s="3"/>
      <c r="B125" s="186" t="str">
        <f>IF(F123&gt;=E28,"Tryktab for stort. Vælg større rørdiameter","Tryktab mindre end tilladeligt tryktab. Rørdiameter ok")</f>
        <v>Tryktab mindre end tilladeligt tryktab. Rørdiameter ok</v>
      </c>
      <c r="C125" s="186"/>
      <c r="D125" s="186"/>
      <c r="E125" s="186"/>
      <c r="F125" s="186"/>
      <c r="G125" s="186"/>
      <c r="H125" s="186"/>
      <c r="I125" s="186"/>
      <c r="J125" s="186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20.25" customHeight="1" x14ac:dyDescent="0.2">
      <c r="A127" s="3"/>
      <c r="B127" s="186" t="str">
        <f>IF(F103&gt;=E26,"Flowhastighed for stor, vælg størrer rørdiameter","Flowhastighed mindre end maksimal tilladelig. Rørdiameter ok")</f>
        <v>Flowhastighed mindre end maksimal tilladelig. Rørdiameter ok</v>
      </c>
      <c r="C127" s="186"/>
      <c r="D127" s="186"/>
      <c r="E127" s="186"/>
      <c r="F127" s="186"/>
      <c r="G127" s="186"/>
      <c r="H127" s="186"/>
      <c r="I127" s="186"/>
      <c r="J127" s="186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</sheetData>
  <mergeCells count="110">
    <mergeCell ref="B18:C19"/>
    <mergeCell ref="G19:J19"/>
    <mergeCell ref="B22:C22"/>
    <mergeCell ref="B23:C23"/>
    <mergeCell ref="B24:C24"/>
    <mergeCell ref="F28:G28"/>
    <mergeCell ref="H28:I28"/>
    <mergeCell ref="J28:K28"/>
    <mergeCell ref="A1:K1"/>
    <mergeCell ref="A2:K2"/>
    <mergeCell ref="A4:K4"/>
    <mergeCell ref="A5:K5"/>
    <mergeCell ref="B16:C16"/>
    <mergeCell ref="B17:C17"/>
    <mergeCell ref="B33:C33"/>
    <mergeCell ref="B34:C34"/>
    <mergeCell ref="B35:C35"/>
    <mergeCell ref="B36:C36"/>
    <mergeCell ref="B37:C37"/>
    <mergeCell ref="B42:C42"/>
    <mergeCell ref="H29:I29"/>
    <mergeCell ref="J29:K29"/>
    <mergeCell ref="H30:I30"/>
    <mergeCell ref="J30:K30"/>
    <mergeCell ref="H31:I31"/>
    <mergeCell ref="J31:K31"/>
    <mergeCell ref="B52:C52"/>
    <mergeCell ref="B53:C53"/>
    <mergeCell ref="B54:C54"/>
    <mergeCell ref="B55:C55"/>
    <mergeCell ref="B56:C56"/>
    <mergeCell ref="B58:C58"/>
    <mergeCell ref="G42:J43"/>
    <mergeCell ref="B43:C43"/>
    <mergeCell ref="B47:C47"/>
    <mergeCell ref="B48:C48"/>
    <mergeCell ref="B50:E50"/>
    <mergeCell ref="B51:C51"/>
    <mergeCell ref="B65:C65"/>
    <mergeCell ref="B66:C66"/>
    <mergeCell ref="B70:C70"/>
    <mergeCell ref="B74:C74"/>
    <mergeCell ref="B76:C76"/>
    <mergeCell ref="H76:L76"/>
    <mergeCell ref="B59:C59"/>
    <mergeCell ref="B60:C60"/>
    <mergeCell ref="B61:C61"/>
    <mergeCell ref="B62:C62"/>
    <mergeCell ref="B63:C63"/>
    <mergeCell ref="B64:C64"/>
    <mergeCell ref="H80:J80"/>
    <mergeCell ref="K80:L80"/>
    <mergeCell ref="H81:J81"/>
    <mergeCell ref="K81:L81"/>
    <mergeCell ref="H82:J82"/>
    <mergeCell ref="K82:L82"/>
    <mergeCell ref="H77:J77"/>
    <mergeCell ref="K77:L77"/>
    <mergeCell ref="B78:C78"/>
    <mergeCell ref="H78:J78"/>
    <mergeCell ref="K78:L78"/>
    <mergeCell ref="H79:J79"/>
    <mergeCell ref="K79:L79"/>
    <mergeCell ref="H86:J86"/>
    <mergeCell ref="K86:L86"/>
    <mergeCell ref="H87:J87"/>
    <mergeCell ref="K87:L87"/>
    <mergeCell ref="H88:L88"/>
    <mergeCell ref="B91:C91"/>
    <mergeCell ref="H83:J83"/>
    <mergeCell ref="K83:L83"/>
    <mergeCell ref="H84:J84"/>
    <mergeCell ref="K84:L84"/>
    <mergeCell ref="H85:J85"/>
    <mergeCell ref="K85:L85"/>
    <mergeCell ref="B108:C108"/>
    <mergeCell ref="H108:L108"/>
    <mergeCell ref="H109:J109"/>
    <mergeCell ref="K109:L109"/>
    <mergeCell ref="B110:C110"/>
    <mergeCell ref="H110:J110"/>
    <mergeCell ref="K110:L110"/>
    <mergeCell ref="B92:C92"/>
    <mergeCell ref="B94:J94"/>
    <mergeCell ref="B96:J96"/>
    <mergeCell ref="B101:C101"/>
    <mergeCell ref="B103:C103"/>
    <mergeCell ref="B106:C106"/>
    <mergeCell ref="H114:J114"/>
    <mergeCell ref="K114:L114"/>
    <mergeCell ref="H115:J115"/>
    <mergeCell ref="K115:L115"/>
    <mergeCell ref="H116:J116"/>
    <mergeCell ref="K116:L116"/>
    <mergeCell ref="H111:J111"/>
    <mergeCell ref="K111:L111"/>
    <mergeCell ref="H112:J112"/>
    <mergeCell ref="K112:L112"/>
    <mergeCell ref="H113:J113"/>
    <mergeCell ref="K113:L113"/>
    <mergeCell ref="H120:L120"/>
    <mergeCell ref="B123:C123"/>
    <mergeCell ref="B125:J125"/>
    <mergeCell ref="B127:J127"/>
    <mergeCell ref="H117:J117"/>
    <mergeCell ref="K117:L117"/>
    <mergeCell ref="H118:J118"/>
    <mergeCell ref="K118:L118"/>
    <mergeCell ref="H119:J119"/>
    <mergeCell ref="K119:L119"/>
  </mergeCells>
  <conditionalFormatting sqref="B94:J94">
    <cfRule type="expression" dxfId="36" priority="3">
      <formula>$F$91&lt;$E$28</formula>
    </cfRule>
    <cfRule type="expression" dxfId="35" priority="4">
      <formula>$H$117&lt;$F$26</formula>
    </cfRule>
  </conditionalFormatting>
  <conditionalFormatting sqref="B125:J125">
    <cfRule type="expression" dxfId="34" priority="1">
      <formula>$F$123&lt;$E$28</formula>
    </cfRule>
    <cfRule type="expression" dxfId="33" priority="2">
      <formula>$F$123&lt;$E$28</formula>
    </cfRule>
  </conditionalFormatting>
  <conditionalFormatting sqref="B127:J127">
    <cfRule type="expression" dxfId="32" priority="5">
      <formula>F103&lt;E26</formula>
    </cfRule>
    <cfRule type="expression" dxfId="31" priority="6">
      <formula>"F82&lt;E22"</formula>
    </cfRule>
  </conditionalFormatting>
  <pageMargins left="0.7" right="0.7" top="0.75" bottom="0.75" header="0.3" footer="0.3"/>
  <pageSetup paperSize="9" scale="6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20"/>
  <sheetViews>
    <sheetView workbookViewId="0">
      <selection activeCell="H8" sqref="H8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88.5" customHeight="1" thickBot="1" x14ac:dyDescent="0.25">
      <c r="A1" s="351" t="s">
        <v>218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256" ht="53.25" customHeight="1" thickBot="1" x14ac:dyDescent="0.25">
      <c r="A2" s="306" t="s">
        <v>121</v>
      </c>
      <c r="B2" s="307"/>
      <c r="C2" s="307"/>
      <c r="D2" s="307"/>
      <c r="E2" s="307"/>
      <c r="F2" s="307"/>
      <c r="G2" s="307"/>
      <c r="H2" s="307"/>
      <c r="I2" s="307"/>
      <c r="J2" s="307"/>
      <c r="K2" s="308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7.25" customHeight="1" thickBot="1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247" t="s">
        <v>209</v>
      </c>
      <c r="B4" s="248"/>
      <c r="C4" s="248"/>
      <c r="D4" s="248"/>
      <c r="E4" s="248"/>
      <c r="F4" s="248"/>
      <c r="G4" s="248"/>
      <c r="H4" s="248"/>
      <c r="I4" s="248"/>
      <c r="J4" s="248"/>
      <c r="K4" s="249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4" customHeight="1" thickBot="1" x14ac:dyDescent="0.25">
      <c r="A5" s="183" t="s">
        <v>212</v>
      </c>
      <c r="B5" s="184"/>
      <c r="C5" s="184"/>
      <c r="D5" s="184"/>
      <c r="E5" s="184"/>
      <c r="F5" s="184"/>
      <c r="G5" s="184"/>
      <c r="H5" s="184"/>
      <c r="I5" s="184"/>
      <c r="J5" s="184"/>
      <c r="K5" s="18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26.25" customHeight="1" x14ac:dyDescent="0.2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x14ac:dyDescent="0.2">
      <c r="B7" s="32" t="s">
        <v>36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A8" s="32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.75" thickBot="1" x14ac:dyDescent="0.25">
      <c r="B9" s="43" t="s">
        <v>39</v>
      </c>
      <c r="C9" s="44"/>
      <c r="D9" s="44"/>
      <c r="E9" s="45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5" t="s">
        <v>37</v>
      </c>
      <c r="C10" s="149"/>
      <c r="E10" s="80"/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2" t="s">
        <v>38</v>
      </c>
      <c r="C11" s="150" t="s">
        <v>42</v>
      </c>
      <c r="E11" s="1" t="s">
        <v>102</v>
      </c>
      <c r="N11" s="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3"/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 t="s">
        <v>149</v>
      </c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x14ac:dyDescent="0.2">
      <c r="B14" s="12"/>
      <c r="C14" s="30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.75" thickBot="1" x14ac:dyDescent="0.25"/>
    <row r="16" spans="1:256" x14ac:dyDescent="0.2">
      <c r="B16" s="309" t="s">
        <v>152</v>
      </c>
      <c r="C16" s="310"/>
      <c r="D16" s="78" t="s">
        <v>24</v>
      </c>
      <c r="E16" s="78" t="s">
        <v>47</v>
      </c>
      <c r="F16" s="157">
        <v>8000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256" x14ac:dyDescent="0.2">
      <c r="B17" s="311" t="s">
        <v>8</v>
      </c>
      <c r="C17" s="312"/>
      <c r="D17" s="4" t="s">
        <v>9</v>
      </c>
      <c r="E17" s="4" t="s">
        <v>10</v>
      </c>
      <c r="F17" s="158">
        <v>15</v>
      </c>
      <c r="H17" s="151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2:256" x14ac:dyDescent="0.2">
      <c r="B18" s="318" t="s">
        <v>16</v>
      </c>
      <c r="C18" s="319"/>
      <c r="D18" s="27" t="s">
        <v>139</v>
      </c>
      <c r="E18" s="172" t="s">
        <v>213</v>
      </c>
      <c r="F18" s="158">
        <v>5000</v>
      </c>
      <c r="G18" s="174">
        <f>IF(F18&lt;&gt;0,F18,3600*F19/F34)</f>
        <v>5000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2:256" ht="15.75" thickBot="1" x14ac:dyDescent="0.25">
      <c r="B19" s="320"/>
      <c r="C19" s="321"/>
      <c r="D19" s="29" t="s">
        <v>139</v>
      </c>
      <c r="E19" s="173" t="s">
        <v>97</v>
      </c>
      <c r="F19" s="159"/>
      <c r="G19" s="328" t="s">
        <v>214</v>
      </c>
      <c r="H19" s="329"/>
      <c r="I19" s="329"/>
      <c r="J19" s="32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2:256" ht="15.75" thickBot="1" x14ac:dyDescent="0.25"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2:256" ht="15.75" thickBot="1" x14ac:dyDescent="0.25">
      <c r="B21" s="98" t="s">
        <v>133</v>
      </c>
      <c r="C21" s="99"/>
      <c r="D21" s="99"/>
      <c r="E21" s="45"/>
      <c r="F21" s="8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2:256" x14ac:dyDescent="0.2">
      <c r="B22" s="208" t="s">
        <v>132</v>
      </c>
      <c r="C22" s="208"/>
      <c r="D22" s="154"/>
      <c r="F22" s="8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2:256" x14ac:dyDescent="0.2">
      <c r="B23" s="208" t="s">
        <v>130</v>
      </c>
      <c r="C23" s="208"/>
      <c r="D23" s="154"/>
      <c r="F23" s="8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2:256" x14ac:dyDescent="0.2">
      <c r="B24" s="314" t="s">
        <v>131</v>
      </c>
      <c r="C24" s="314"/>
      <c r="D24" s="155"/>
      <c r="F24" s="8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2:256" x14ac:dyDescent="0.2">
      <c r="B25" s="176" t="s">
        <v>153</v>
      </c>
      <c r="C25" s="176"/>
      <c r="D25" s="155">
        <v>10</v>
      </c>
      <c r="E25" s="1" t="s">
        <v>154</v>
      </c>
      <c r="F25" s="8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2:256" x14ac:dyDescent="0.2">
      <c r="B26" s="100" t="s">
        <v>144</v>
      </c>
      <c r="C26" s="100"/>
      <c r="D26" s="101" t="s">
        <v>145</v>
      </c>
      <c r="E26" s="102">
        <f>IF(D22&lt;&gt;0,25,IF(D23&lt;&gt;0,20,IF(D24&lt;&gt;0,15,D25)))</f>
        <v>10</v>
      </c>
      <c r="F26" s="8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2:256" ht="15.75" thickBot="1" x14ac:dyDescent="0.25">
      <c r="B27" s="97"/>
      <c r="C27" s="97"/>
      <c r="D27" s="177"/>
      <c r="E27" s="7"/>
      <c r="F27" s="8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2:256" x14ac:dyDescent="0.2">
      <c r="B28" s="106" t="s">
        <v>172</v>
      </c>
      <c r="C28" s="114" t="s">
        <v>173</v>
      </c>
      <c r="D28" s="101" t="s">
        <v>47</v>
      </c>
      <c r="E28" s="154">
        <v>600</v>
      </c>
      <c r="F28" s="264" t="s">
        <v>211</v>
      </c>
      <c r="G28" s="265"/>
      <c r="H28" s="315" t="s">
        <v>176</v>
      </c>
      <c r="I28" s="316"/>
      <c r="J28" s="316" t="s">
        <v>177</v>
      </c>
      <c r="K28" s="317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2:256" x14ac:dyDescent="0.2">
      <c r="B29" s="97"/>
      <c r="C29" s="97"/>
      <c r="D29" s="177"/>
      <c r="E29" s="7"/>
      <c r="F29" s="8"/>
      <c r="H29" s="256" t="s">
        <v>178</v>
      </c>
      <c r="I29" s="268"/>
      <c r="J29" s="268" t="s">
        <v>181</v>
      </c>
      <c r="K29" s="26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2:256" x14ac:dyDescent="0.2">
      <c r="B30" s="97"/>
      <c r="C30" s="97"/>
      <c r="D30" s="177"/>
      <c r="E30" s="7"/>
      <c r="F30" s="8"/>
      <c r="H30" s="256" t="s">
        <v>179</v>
      </c>
      <c r="I30" s="268"/>
      <c r="J30" s="268" t="s">
        <v>182</v>
      </c>
      <c r="K30" s="269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2:256" ht="15.75" thickBot="1" x14ac:dyDescent="0.25">
      <c r="B31" s="12" t="s">
        <v>44</v>
      </c>
      <c r="C31" s="3"/>
      <c r="D31" s="3"/>
      <c r="E31" s="3"/>
      <c r="F31" s="3"/>
      <c r="H31" s="273" t="s">
        <v>180</v>
      </c>
      <c r="I31" s="274"/>
      <c r="J31" s="274" t="s">
        <v>183</v>
      </c>
      <c r="K31" s="275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2:256" x14ac:dyDescent="0.2">
      <c r="B32" s="3"/>
      <c r="C32" s="3"/>
      <c r="D32" s="3"/>
      <c r="E32" s="3"/>
      <c r="F32" s="3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x14ac:dyDescent="0.2">
      <c r="B33" s="221" t="s">
        <v>0</v>
      </c>
      <c r="C33" s="222"/>
      <c r="D33" s="4" t="s">
        <v>1</v>
      </c>
      <c r="E33" s="4" t="s">
        <v>2</v>
      </c>
      <c r="F33" s="47">
        <f>IF(C10 &lt;&gt;0,101800,43700)</f>
        <v>43700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40</v>
      </c>
      <c r="C34" s="222"/>
      <c r="D34" s="4" t="s">
        <v>41</v>
      </c>
      <c r="E34" s="4" t="s">
        <v>2</v>
      </c>
      <c r="F34" s="47">
        <f>IF(C10&lt;&gt;0,93600,39500)</f>
        <v>39500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3</v>
      </c>
      <c r="C35" s="222"/>
      <c r="D35" s="4" t="s">
        <v>4</v>
      </c>
      <c r="E35" s="4" t="s">
        <v>5</v>
      </c>
      <c r="F35" s="46">
        <f>IF(C10&lt;&gt;0,1.555,0.61)</f>
        <v>0.61</v>
      </c>
      <c r="H35" s="123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6</v>
      </c>
      <c r="C36" s="222"/>
      <c r="D36" s="11" t="s">
        <v>21</v>
      </c>
      <c r="E36" s="4" t="s">
        <v>155</v>
      </c>
      <c r="F36" s="46">
        <f>IF(C10&lt;&gt;0,0.8,1.06)</f>
        <v>1.06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221" t="s">
        <v>45</v>
      </c>
      <c r="C37" s="222"/>
      <c r="D37" s="17" t="s">
        <v>18</v>
      </c>
      <c r="E37" s="4" t="s">
        <v>43</v>
      </c>
      <c r="F37" s="46">
        <f>IF(C10&lt;&gt;0,2.02,0.82)</f>
        <v>0.82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x14ac:dyDescent="0.2">
      <c r="B38" s="97"/>
      <c r="C38" s="97"/>
      <c r="D38" s="11"/>
      <c r="E38" s="7"/>
      <c r="F38" s="103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.75" thickBot="1" x14ac:dyDescent="0.25"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4.75" customHeight="1" thickBot="1" x14ac:dyDescent="0.35">
      <c r="A40" s="135" t="s">
        <v>190</v>
      </c>
      <c r="B40" s="131" t="s">
        <v>136</v>
      </c>
      <c r="C40" s="132"/>
      <c r="D40" s="133"/>
      <c r="E40" s="133"/>
      <c r="F40" s="133"/>
      <c r="G40" s="133"/>
      <c r="H40" s="133"/>
      <c r="I40" s="133"/>
      <c r="J40" s="133"/>
      <c r="K40" s="134"/>
      <c r="L40" s="3"/>
      <c r="M40" s="12"/>
      <c r="N40" s="9"/>
      <c r="O40" s="9"/>
      <c r="P40" s="9"/>
      <c r="Q40" s="9"/>
      <c r="R40" s="9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313" t="s">
        <v>137</v>
      </c>
      <c r="C42" s="313"/>
      <c r="D42" s="107" t="s">
        <v>138</v>
      </c>
      <c r="E42" s="107" t="s">
        <v>143</v>
      </c>
      <c r="F42" s="108">
        <f>G18*(273+F17)/((1+F16/1000)*273)</f>
        <v>586.08058608058604</v>
      </c>
      <c r="G42" s="330" t="s">
        <v>215</v>
      </c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x14ac:dyDescent="0.2">
      <c r="B43" s="267" t="s">
        <v>84</v>
      </c>
      <c r="C43" s="267"/>
      <c r="D43" s="111"/>
      <c r="E43" s="109" t="s">
        <v>97</v>
      </c>
      <c r="F43" s="110">
        <f>IF(F19&lt;&gt;0,F19,F34*F18/3600)</f>
        <v>54861.111111111109</v>
      </c>
      <c r="G43" s="330"/>
      <c r="H43" s="331"/>
      <c r="I43" s="331"/>
      <c r="J43" s="331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.75" thickBot="1" x14ac:dyDescent="0.25"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24.75" customHeight="1" thickBot="1" x14ac:dyDescent="0.35">
      <c r="A45" s="135" t="s">
        <v>189</v>
      </c>
      <c r="B45" s="131" t="s">
        <v>140</v>
      </c>
      <c r="C45" s="132"/>
      <c r="D45" s="133"/>
      <c r="E45" s="133"/>
      <c r="F45" s="133"/>
      <c r="G45" s="133"/>
      <c r="H45" s="133"/>
      <c r="I45" s="133"/>
      <c r="J45" s="133"/>
      <c r="K45" s="134"/>
      <c r="L45" s="3"/>
      <c r="M45" s="12"/>
      <c r="N45" s="9"/>
      <c r="O45" s="9"/>
      <c r="P45" s="9"/>
      <c r="Q45" s="9"/>
      <c r="R45" s="9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327" t="s">
        <v>141</v>
      </c>
      <c r="C47" s="327"/>
      <c r="D47" s="145" t="s">
        <v>142</v>
      </c>
      <c r="E47" s="145" t="s">
        <v>96</v>
      </c>
      <c r="F47" s="146">
        <f>18.8*SQRT(F42/E26)</f>
        <v>143.92509244197913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x14ac:dyDescent="0.2">
      <c r="B48" s="266" t="s">
        <v>100</v>
      </c>
      <c r="C48" s="266"/>
      <c r="D48" s="126" t="s">
        <v>184</v>
      </c>
      <c r="E48" s="127" t="s">
        <v>99</v>
      </c>
      <c r="F48" s="110">
        <f>$F$42*4/(3600*3.14* ($F$47/1000)^2)</f>
        <v>10.011799506426293</v>
      </c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256" ht="15.75" thickBot="1" x14ac:dyDescent="0.25">
      <c r="B49" s="142"/>
      <c r="C49" s="142"/>
      <c r="D49" s="143"/>
      <c r="E49" s="144"/>
      <c r="F49" s="124"/>
      <c r="H49" s="124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2:256" ht="15.75" thickBot="1" x14ac:dyDescent="0.25">
      <c r="B50" s="323" t="s">
        <v>193</v>
      </c>
      <c r="C50" s="324"/>
      <c r="D50" s="324"/>
      <c r="E50" s="325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2:256" x14ac:dyDescent="0.2">
      <c r="B51" s="332" t="s">
        <v>194</v>
      </c>
      <c r="C51" s="332"/>
      <c r="D51" s="147" t="s">
        <v>78</v>
      </c>
      <c r="E51" s="149">
        <v>217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2:256" x14ac:dyDescent="0.2">
      <c r="B52" s="208" t="s">
        <v>195</v>
      </c>
      <c r="C52" s="208"/>
      <c r="D52" s="27" t="s">
        <v>208</v>
      </c>
      <c r="E52" s="150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2:256" x14ac:dyDescent="0.2">
      <c r="B53" s="208" t="s">
        <v>196</v>
      </c>
      <c r="C53" s="208"/>
      <c r="D53" s="27" t="s">
        <v>208</v>
      </c>
      <c r="E53" s="150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2:256" x14ac:dyDescent="0.2">
      <c r="B54" s="208" t="s">
        <v>197</v>
      </c>
      <c r="C54" s="208"/>
      <c r="D54" s="27" t="s">
        <v>208</v>
      </c>
      <c r="E54" s="150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2:256" x14ac:dyDescent="0.2">
      <c r="B55" s="208" t="s">
        <v>198</v>
      </c>
      <c r="C55" s="208"/>
      <c r="D55" s="27" t="s">
        <v>208</v>
      </c>
      <c r="E55" s="150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2:256" x14ac:dyDescent="0.2">
      <c r="B56" s="208" t="s">
        <v>199</v>
      </c>
      <c r="C56" s="208"/>
      <c r="D56" s="27" t="s">
        <v>208</v>
      </c>
      <c r="E56" s="150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2:256" x14ac:dyDescent="0.2">
      <c r="B57" s="2" t="s">
        <v>200</v>
      </c>
      <c r="C57" s="141"/>
      <c r="D57" s="27" t="s">
        <v>208</v>
      </c>
      <c r="E57" s="150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2:256" x14ac:dyDescent="0.2">
      <c r="B58" s="208" t="s">
        <v>201</v>
      </c>
      <c r="C58" s="208"/>
      <c r="D58" s="27" t="s">
        <v>208</v>
      </c>
      <c r="E58" s="150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2:256" x14ac:dyDescent="0.2">
      <c r="B59" s="208" t="s">
        <v>202</v>
      </c>
      <c r="C59" s="208"/>
      <c r="D59" s="27" t="s">
        <v>208</v>
      </c>
      <c r="E59" s="150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2:256" x14ac:dyDescent="0.2">
      <c r="B60" s="208" t="s">
        <v>203</v>
      </c>
      <c r="C60" s="208"/>
      <c r="D60" s="27" t="s">
        <v>208</v>
      </c>
      <c r="E60" s="15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2:256" x14ac:dyDescent="0.2">
      <c r="B61" s="208" t="s">
        <v>204</v>
      </c>
      <c r="C61" s="208"/>
      <c r="D61" s="27" t="s">
        <v>208</v>
      </c>
      <c r="E61" s="150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2:256" x14ac:dyDescent="0.2">
      <c r="B62" s="208" t="s">
        <v>205</v>
      </c>
      <c r="C62" s="208"/>
      <c r="D62" s="27" t="s">
        <v>208</v>
      </c>
      <c r="E62" s="150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2:256" x14ac:dyDescent="0.2">
      <c r="B63" s="208" t="s">
        <v>206</v>
      </c>
      <c r="C63" s="208"/>
      <c r="D63" s="27" t="s">
        <v>208</v>
      </c>
      <c r="E63" s="150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2:256" x14ac:dyDescent="0.2">
      <c r="B64" s="208" t="s">
        <v>207</v>
      </c>
      <c r="C64" s="208"/>
      <c r="D64" s="27" t="s">
        <v>208</v>
      </c>
      <c r="E64" s="150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x14ac:dyDescent="0.2">
      <c r="B65" s="322"/>
      <c r="C65" s="322"/>
      <c r="D65" s="177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x14ac:dyDescent="0.2">
      <c r="B66" s="326" t="s">
        <v>192</v>
      </c>
      <c r="C66" s="326"/>
      <c r="D66" s="139" t="s">
        <v>13</v>
      </c>
      <c r="E66" s="140" t="s">
        <v>78</v>
      </c>
      <c r="F66" s="148">
        <f>E51+(166*E52+70*E53+25*E54+60*E55+40*E56+25*E57+17*E58+16*E59+18*E60+25*E61+100*E62+100*E63+25*E64)*F47/1000</f>
        <v>217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.75" thickBot="1" x14ac:dyDescent="0.25"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24.75" customHeight="1" thickBot="1" x14ac:dyDescent="0.35">
      <c r="A68" s="135" t="s">
        <v>188</v>
      </c>
      <c r="B68" s="131" t="s">
        <v>146</v>
      </c>
      <c r="C68" s="136"/>
      <c r="D68" s="137"/>
      <c r="E68" s="137"/>
      <c r="F68" s="137"/>
      <c r="G68" s="137"/>
      <c r="H68" s="137"/>
      <c r="I68" s="137"/>
      <c r="J68" s="137"/>
      <c r="K68" s="138"/>
      <c r="L68" s="3"/>
      <c r="M68" s="12"/>
      <c r="N68" s="9"/>
      <c r="O68" s="9"/>
      <c r="P68" s="9"/>
      <c r="Q68" s="9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B70" s="286" t="s">
        <v>147</v>
      </c>
      <c r="C70" s="286"/>
      <c r="D70" s="101" t="s">
        <v>148</v>
      </c>
      <c r="E70" s="101" t="s">
        <v>47</v>
      </c>
      <c r="F70" s="104">
        <f>0.5*F35*F66*F18*E26^2/(F47*F42)</f>
        <v>392.31573290642496</v>
      </c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x14ac:dyDescent="0.2">
      <c r="B74" s="288" t="s">
        <v>150</v>
      </c>
      <c r="C74" s="288"/>
      <c r="D74" s="109" t="s">
        <v>151</v>
      </c>
      <c r="E74" s="120" t="s">
        <v>171</v>
      </c>
      <c r="F74" s="113">
        <f>IF(F18&lt;&gt;0,0.45*100000*F18*F35/(F36*F47),0.45*100000*F19*3600*F35/(F34*F36*F47))</f>
        <v>899642.51457868435</v>
      </c>
      <c r="G74" s="113">
        <f>0.45*100000*F18*F35/(F36*F47)</f>
        <v>899642.51457868435</v>
      </c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289" t="s">
        <v>156</v>
      </c>
      <c r="C76" s="290"/>
      <c r="D76" s="2" t="s">
        <v>20</v>
      </c>
      <c r="E76" s="2" t="s">
        <v>116</v>
      </c>
      <c r="F76" s="153">
        <v>0.04</v>
      </c>
      <c r="H76" s="291" t="s">
        <v>169</v>
      </c>
      <c r="I76" s="292"/>
      <c r="J76" s="292"/>
      <c r="K76" s="292"/>
      <c r="L76" s="293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.75" thickBot="1" x14ac:dyDescent="0.25">
      <c r="B77" s="115"/>
      <c r="C77" s="115"/>
      <c r="D77" s="3"/>
      <c r="E77" s="3"/>
      <c r="F77" s="8"/>
      <c r="H77" s="295" t="s">
        <v>33</v>
      </c>
      <c r="I77" s="296"/>
      <c r="J77" s="297"/>
      <c r="K77" s="298" t="s">
        <v>34</v>
      </c>
      <c r="L77" s="299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x14ac:dyDescent="0.2">
      <c r="A78" s="9"/>
      <c r="B78" s="300" t="s">
        <v>170</v>
      </c>
      <c r="C78" s="300"/>
      <c r="D78" s="3"/>
      <c r="E78" s="3"/>
      <c r="F78" s="3"/>
      <c r="G78" s="3"/>
      <c r="H78" s="301" t="s">
        <v>25</v>
      </c>
      <c r="I78" s="302"/>
      <c r="J78" s="303"/>
      <c r="K78" s="304"/>
      <c r="L78" s="305"/>
      <c r="M78" s="9"/>
      <c r="N78" s="9"/>
      <c r="O78" s="9"/>
      <c r="P78" s="9"/>
      <c r="Q78" s="9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customHeight="1" x14ac:dyDescent="0.2">
      <c r="B79" s="116" t="s">
        <v>157</v>
      </c>
      <c r="C79" s="116"/>
      <c r="D79" s="116"/>
      <c r="E79" s="116"/>
      <c r="F79" s="117">
        <f>IF(AND(AND($F$43&lt;&gt;0,$F$47&lt;&gt;0),$F$16&lt;&gt;0),-4*LOG10($F$76/(3.7*$F$47)+5.1286/($F$74^0.89)),"")</f>
        <v>15.98495125609359</v>
      </c>
      <c r="H79" s="250" t="s">
        <v>26</v>
      </c>
      <c r="I79" s="281"/>
      <c r="J79" s="282"/>
      <c r="K79" s="270">
        <v>0.01</v>
      </c>
      <c r="L79" s="271"/>
    </row>
    <row r="80" spans="1:256" ht="15" customHeight="1" x14ac:dyDescent="0.2">
      <c r="A80" s="3"/>
      <c r="B80" s="116" t="s">
        <v>158</v>
      </c>
      <c r="C80" s="116"/>
      <c r="D80" s="116"/>
      <c r="E80" s="116"/>
      <c r="F80" s="117">
        <f t="shared" ref="F80:F88" si="0">IF(AND(AND($F$43&lt;&gt;0,$F$47&lt;&gt;0),$F$16&lt;&gt;0),-4*LOG10($F$76/(3.7*$F$47)+1.413*F79/($F$74^0.89)),"")</f>
        <v>14.898339888965934</v>
      </c>
      <c r="G80" s="3"/>
      <c r="H80" s="256" t="s">
        <v>27</v>
      </c>
      <c r="I80" s="268"/>
      <c r="J80" s="269"/>
      <c r="K80" s="270">
        <v>0.05</v>
      </c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159</v>
      </c>
      <c r="C81" s="116"/>
      <c r="D81" s="116"/>
      <c r="E81" s="116"/>
      <c r="F81" s="117">
        <f t="shared" si="0"/>
        <v>14.970876785232273</v>
      </c>
      <c r="G81" s="3"/>
      <c r="H81" s="283"/>
      <c r="I81" s="284"/>
      <c r="J81" s="285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160</v>
      </c>
      <c r="C82" s="116"/>
      <c r="D82" s="116"/>
      <c r="E82" s="116"/>
      <c r="F82" s="117">
        <f t="shared" si="0"/>
        <v>14.965939081859913</v>
      </c>
      <c r="G82" s="3"/>
      <c r="H82" s="278" t="s">
        <v>28</v>
      </c>
      <c r="I82" s="279"/>
      <c r="J82" s="280"/>
      <c r="K82" s="270"/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161</v>
      </c>
      <c r="C83" s="116"/>
      <c r="D83" s="116"/>
      <c r="E83" s="116"/>
      <c r="F83" s="117">
        <f t="shared" si="0"/>
        <v>14.966274754478032</v>
      </c>
      <c r="G83" s="3"/>
      <c r="H83" s="256" t="s">
        <v>29</v>
      </c>
      <c r="I83" s="268"/>
      <c r="J83" s="269"/>
      <c r="K83" s="270">
        <v>0.04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162</v>
      </c>
      <c r="C84" s="116"/>
      <c r="D84" s="116"/>
      <c r="E84" s="116"/>
      <c r="F84" s="117">
        <f t="shared" si="0"/>
        <v>14.966251932885745</v>
      </c>
      <c r="G84" s="3"/>
      <c r="H84" s="256" t="s">
        <v>30</v>
      </c>
      <c r="I84" s="268"/>
      <c r="J84" s="269"/>
      <c r="K84" s="270">
        <v>0.08</v>
      </c>
      <c r="L84" s="271"/>
      <c r="M84" s="9"/>
      <c r="N84" s="9"/>
      <c r="O84" s="9"/>
      <c r="P84" s="9"/>
      <c r="Q84" s="9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163</v>
      </c>
      <c r="C85" s="116"/>
      <c r="D85" s="116"/>
      <c r="E85" s="116"/>
      <c r="F85" s="117">
        <f t="shared" si="0"/>
        <v>14.966253484462664</v>
      </c>
      <c r="G85" s="3"/>
      <c r="H85" s="256" t="s">
        <v>31</v>
      </c>
      <c r="I85" s="268"/>
      <c r="J85" s="269"/>
      <c r="K85" s="270">
        <v>0.4</v>
      </c>
      <c r="L85" s="271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x14ac:dyDescent="0.2">
      <c r="A86" s="3"/>
      <c r="B86" s="116" t="s">
        <v>164</v>
      </c>
      <c r="C86" s="116"/>
      <c r="D86" s="116"/>
      <c r="E86" s="116"/>
      <c r="F86" s="117">
        <f t="shared" si="0"/>
        <v>14.966253378975198</v>
      </c>
      <c r="G86" s="3"/>
      <c r="H86" s="256" t="s">
        <v>32</v>
      </c>
      <c r="I86" s="268"/>
      <c r="J86" s="269"/>
      <c r="K86" s="272">
        <v>0.02</v>
      </c>
      <c r="L86" s="23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6" t="s">
        <v>165</v>
      </c>
      <c r="C87" s="116"/>
      <c r="D87" s="116"/>
      <c r="E87" s="116"/>
      <c r="F87" s="117">
        <f t="shared" si="0"/>
        <v>14.966253386147001</v>
      </c>
      <c r="G87" s="3"/>
      <c r="H87" s="273" t="s">
        <v>129</v>
      </c>
      <c r="I87" s="274"/>
      <c r="J87" s="275"/>
      <c r="K87" s="276">
        <v>2E-3</v>
      </c>
      <c r="L87" s="277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customHeight="1" thickBot="1" x14ac:dyDescent="0.25">
      <c r="A88" s="3"/>
      <c r="B88" s="111" t="s">
        <v>166</v>
      </c>
      <c r="C88" s="111"/>
      <c r="D88" s="111"/>
      <c r="E88" s="111"/>
      <c r="F88" s="118">
        <f t="shared" si="0"/>
        <v>14.96625338565941</v>
      </c>
      <c r="G88" s="3"/>
      <c r="H88" s="240" t="s">
        <v>35</v>
      </c>
      <c r="I88" s="241"/>
      <c r="J88" s="241"/>
      <c r="K88" s="241"/>
      <c r="L88" s="24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86" t="s">
        <v>167</v>
      </c>
      <c r="C91" s="286"/>
      <c r="D91" s="114" t="s">
        <v>168</v>
      </c>
      <c r="E91" s="101" t="s">
        <v>47</v>
      </c>
      <c r="F91" s="102">
        <f>F70*50/F88^2</f>
        <v>87.574878138793324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263" t="s">
        <v>141</v>
      </c>
      <c r="C92" s="263"/>
      <c r="D92" s="125" t="s">
        <v>142</v>
      </c>
      <c r="E92" s="125" t="s">
        <v>96</v>
      </c>
      <c r="F92" s="168">
        <f>F47</f>
        <v>143.92509244197913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20.25" x14ac:dyDescent="0.2">
      <c r="A94" s="3"/>
      <c r="B94" s="186" t="str">
        <f>IF(F91&gt;=E28,"Tryktab for stort. Gå til pkt 4. nedenfor","Tryktab mindre end tilladeligt tryktab. Rørdiameter ok")</f>
        <v>Tryktab mindre end tilladeligt tryktab. Rørdiameter ok</v>
      </c>
      <c r="C94" s="186"/>
      <c r="D94" s="186"/>
      <c r="E94" s="186"/>
      <c r="F94" s="186"/>
      <c r="G94" s="186"/>
      <c r="H94" s="186"/>
      <c r="I94" s="186"/>
      <c r="J94" s="186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8" x14ac:dyDescent="0.25">
      <c r="A96" s="3"/>
      <c r="B96" s="294" t="s">
        <v>186</v>
      </c>
      <c r="C96" s="294"/>
      <c r="D96" s="294"/>
      <c r="E96" s="294"/>
      <c r="F96" s="294"/>
      <c r="G96" s="294"/>
      <c r="H96" s="294"/>
      <c r="I96" s="294"/>
      <c r="J96" s="29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.75" thickBo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24.75" customHeight="1" thickBot="1" x14ac:dyDescent="0.35">
      <c r="A98" s="135" t="s">
        <v>187</v>
      </c>
      <c r="B98" s="131" t="s">
        <v>191</v>
      </c>
      <c r="C98" s="136"/>
      <c r="D98" s="137"/>
      <c r="E98" s="137"/>
      <c r="F98" s="137"/>
      <c r="G98" s="137"/>
      <c r="H98" s="137"/>
      <c r="I98" s="137"/>
      <c r="J98" s="137"/>
      <c r="K98" s="138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175" t="s">
        <v>185</v>
      </c>
      <c r="C100" s="175"/>
      <c r="D100" s="114" t="s">
        <v>15</v>
      </c>
      <c r="E100" s="101" t="s">
        <v>96</v>
      </c>
      <c r="F100" s="104">
        <f>(($F$91/$E$28)^0.2)*$F$47</f>
        <v>97.944978519777393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x14ac:dyDescent="0.2">
      <c r="B101" s="287" t="s">
        <v>210</v>
      </c>
      <c r="C101" s="287"/>
      <c r="D101" s="128" t="s">
        <v>15</v>
      </c>
      <c r="E101" s="125" t="s">
        <v>96</v>
      </c>
      <c r="F101" s="156">
        <v>144.69999999999999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G102" s="1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.75" thickBot="1" x14ac:dyDescent="0.25">
      <c r="B103" s="267" t="s">
        <v>100</v>
      </c>
      <c r="C103" s="267"/>
      <c r="D103" s="120" t="s">
        <v>184</v>
      </c>
      <c r="E103" s="109" t="s">
        <v>99</v>
      </c>
      <c r="F103" s="129">
        <f>$F$42*4/(3600*3.14* ($F$101/1000)^2)</f>
        <v>9.9048548564166801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x14ac:dyDescent="0.2">
      <c r="B106" s="288" t="s">
        <v>150</v>
      </c>
      <c r="C106" s="288"/>
      <c r="D106" s="109" t="s">
        <v>151</v>
      </c>
      <c r="E106" s="120" t="s">
        <v>171</v>
      </c>
      <c r="F106" s="113">
        <f>0.45*100000*$F$18*$F$35/($F$36*F101)</f>
        <v>894824.68607789697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289" t="s">
        <v>156</v>
      </c>
      <c r="C108" s="290"/>
      <c r="D108" s="2" t="s">
        <v>20</v>
      </c>
      <c r="E108" s="2" t="s">
        <v>116</v>
      </c>
      <c r="F108" s="153">
        <v>0.04</v>
      </c>
      <c r="H108" s="291" t="s">
        <v>169</v>
      </c>
      <c r="I108" s="292"/>
      <c r="J108" s="292"/>
      <c r="K108" s="292"/>
      <c r="L108" s="29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.75" thickBot="1" x14ac:dyDescent="0.25">
      <c r="B109" s="115"/>
      <c r="C109" s="115"/>
      <c r="D109" s="3"/>
      <c r="E109" s="3"/>
      <c r="F109" s="8"/>
      <c r="H109" s="295" t="s">
        <v>33</v>
      </c>
      <c r="I109" s="296"/>
      <c r="J109" s="297"/>
      <c r="K109" s="298" t="s">
        <v>34</v>
      </c>
      <c r="L109" s="29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A110" s="9"/>
      <c r="B110" s="300" t="s">
        <v>170</v>
      </c>
      <c r="C110" s="300"/>
      <c r="D110" s="3"/>
      <c r="E110" s="3"/>
      <c r="F110" s="3"/>
      <c r="G110" s="3"/>
      <c r="H110" s="301" t="s">
        <v>25</v>
      </c>
      <c r="I110" s="302"/>
      <c r="J110" s="303"/>
      <c r="K110" s="304"/>
      <c r="L110" s="30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B111" s="116" t="s">
        <v>157</v>
      </c>
      <c r="C111" s="116"/>
      <c r="D111" s="116"/>
      <c r="E111" s="116"/>
      <c r="F111" s="117">
        <f>IF(AND(AND($F$43&lt;&gt;0,$F$101&lt;&gt;0),$F$16&lt;&gt;0),-4*LOG10($F$108/(3.7*$F$101)+5.1286/($F$106^0.89)),"")</f>
        <v>15.98976066970862</v>
      </c>
      <c r="H111" s="250" t="s">
        <v>26</v>
      </c>
      <c r="I111" s="281"/>
      <c r="J111" s="282"/>
      <c r="K111" s="270">
        <v>0.01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158</v>
      </c>
      <c r="C112" s="116"/>
      <c r="D112" s="116"/>
      <c r="E112" s="116"/>
      <c r="F112" s="117">
        <f t="shared" ref="F112:F119" si="1">IF(AND(AND($F$43&lt;&gt;0,$F$101&lt;&gt;0),$F$16&lt;&gt;0),-4*LOG10($F$108/(3.7*$F$101)+1.413*F111/($F$106^0.89)),"")</f>
        <v>14.896724406997205</v>
      </c>
      <c r="G112" s="3"/>
      <c r="H112" s="256" t="s">
        <v>27</v>
      </c>
      <c r="I112" s="268"/>
      <c r="J112" s="269"/>
      <c r="K112" s="270">
        <v>0.05</v>
      </c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159</v>
      </c>
      <c r="C113" s="116"/>
      <c r="D113" s="116"/>
      <c r="E113" s="116"/>
      <c r="F113" s="117">
        <f t="shared" si="1"/>
        <v>14.969986777621498</v>
      </c>
      <c r="G113" s="3"/>
      <c r="H113" s="283"/>
      <c r="I113" s="284"/>
      <c r="J113" s="285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160</v>
      </c>
      <c r="C114" s="116"/>
      <c r="D114" s="116"/>
      <c r="E114" s="116"/>
      <c r="F114" s="117">
        <f t="shared" si="1"/>
        <v>14.964978468161879</v>
      </c>
      <c r="G114" s="3"/>
      <c r="H114" s="278" t="s">
        <v>28</v>
      </c>
      <c r="I114" s="279"/>
      <c r="J114" s="280"/>
      <c r="K114" s="270"/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161</v>
      </c>
      <c r="C115" s="116"/>
      <c r="D115" s="116"/>
      <c r="E115" s="116"/>
      <c r="F115" s="117">
        <f t="shared" si="1"/>
        <v>14.965320383193765</v>
      </c>
      <c r="G115" s="3"/>
      <c r="H115" s="256" t="s">
        <v>29</v>
      </c>
      <c r="I115" s="268"/>
      <c r="J115" s="269"/>
      <c r="K115" s="270">
        <v>0.04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162</v>
      </c>
      <c r="C116" s="116"/>
      <c r="D116" s="116"/>
      <c r="E116" s="116"/>
      <c r="F116" s="117">
        <f t="shared" si="1"/>
        <v>14.965297038668036</v>
      </c>
      <c r="G116" s="3"/>
      <c r="H116" s="256" t="s">
        <v>30</v>
      </c>
      <c r="I116" s="268"/>
      <c r="J116" s="269"/>
      <c r="K116" s="270">
        <v>0.08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163</v>
      </c>
      <c r="C117" s="116"/>
      <c r="D117" s="116"/>
      <c r="E117" s="116"/>
      <c r="F117" s="117">
        <f t="shared" si="1"/>
        <v>14.96529863252446</v>
      </c>
      <c r="G117" s="3"/>
      <c r="H117" s="256" t="s">
        <v>31</v>
      </c>
      <c r="I117" s="268"/>
      <c r="J117" s="269"/>
      <c r="K117" s="270">
        <v>0.4</v>
      </c>
      <c r="L117" s="271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x14ac:dyDescent="0.2">
      <c r="A118" s="3"/>
      <c r="B118" s="116" t="s">
        <v>164</v>
      </c>
      <c r="C118" s="116"/>
      <c r="D118" s="116"/>
      <c r="E118" s="116"/>
      <c r="F118" s="117">
        <f t="shared" si="1"/>
        <v>14.965298523703256</v>
      </c>
      <c r="G118" s="3"/>
      <c r="H118" s="256" t="s">
        <v>32</v>
      </c>
      <c r="I118" s="268"/>
      <c r="J118" s="269"/>
      <c r="K118" s="272">
        <v>0.02</v>
      </c>
      <c r="L118" s="23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6" t="s">
        <v>165</v>
      </c>
      <c r="C119" s="116"/>
      <c r="D119" s="116"/>
      <c r="E119" s="116"/>
      <c r="F119" s="117">
        <f t="shared" si="1"/>
        <v>14.965298531133069</v>
      </c>
      <c r="G119" s="3"/>
      <c r="H119" s="273" t="s">
        <v>129</v>
      </c>
      <c r="I119" s="274"/>
      <c r="J119" s="275"/>
      <c r="K119" s="276">
        <v>2E-3</v>
      </c>
      <c r="L119" s="27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.75" thickBot="1" x14ac:dyDescent="0.25">
      <c r="A120" s="3"/>
      <c r="B120" s="111" t="s">
        <v>166</v>
      </c>
      <c r="C120" s="111"/>
      <c r="D120" s="111"/>
      <c r="E120" s="111"/>
      <c r="F120" s="118">
        <f>IF(AND(AND($F$43&lt;&gt;0,$F$47&lt;&gt;0),$F$16&lt;&gt;0),-4*LOG10($F$108/(3.7*$F$47)+1.413*F119/($F$74^0.89)),"")</f>
        <v>14.966318304848246</v>
      </c>
      <c r="G120" s="3"/>
      <c r="H120" s="240" t="s">
        <v>35</v>
      </c>
      <c r="I120" s="241"/>
      <c r="J120" s="241"/>
      <c r="K120" s="241"/>
      <c r="L120" s="24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286" t="s">
        <v>167</v>
      </c>
      <c r="C123" s="286"/>
      <c r="D123" s="114" t="s">
        <v>168</v>
      </c>
      <c r="E123" s="101" t="s">
        <v>47</v>
      </c>
      <c r="F123" s="102">
        <f>3.24*F42*F18*F66*F35*1000000/(F120^2*F101^5)</f>
        <v>88.448262967025954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20.25" x14ac:dyDescent="0.2">
      <c r="A125" s="3"/>
      <c r="B125" s="186" t="str">
        <f>IF(F123&gt;=E28,"Tryktab for stort. Vælg større rørdiameter","Tryktab mindre end tilladeligt tryktab. Rørdiameter ok")</f>
        <v>Tryktab mindre end tilladeligt tryktab. Rørdiameter ok</v>
      </c>
      <c r="C125" s="186"/>
      <c r="D125" s="186"/>
      <c r="E125" s="186"/>
      <c r="F125" s="186"/>
      <c r="G125" s="186"/>
      <c r="H125" s="186"/>
      <c r="I125" s="186"/>
      <c r="J125" s="186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20.25" customHeight="1" x14ac:dyDescent="0.2">
      <c r="A127" s="3"/>
      <c r="B127" s="186" t="str">
        <f>IF(F103&gt;=E26,"Flowhastighed for stor, vælg størrer rørdiameter","Flowhastighed mindre end maksimal tilladelig. Rørdiameter ok")</f>
        <v>Flowhastighed mindre end maksimal tilladelig. Rørdiameter ok</v>
      </c>
      <c r="C127" s="186"/>
      <c r="D127" s="186"/>
      <c r="E127" s="186"/>
      <c r="F127" s="186"/>
      <c r="G127" s="186"/>
      <c r="H127" s="186"/>
      <c r="I127" s="186"/>
      <c r="J127" s="186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</sheetData>
  <mergeCells count="110">
    <mergeCell ref="B18:C19"/>
    <mergeCell ref="G19:J19"/>
    <mergeCell ref="B22:C22"/>
    <mergeCell ref="B23:C23"/>
    <mergeCell ref="B24:C24"/>
    <mergeCell ref="F28:G28"/>
    <mergeCell ref="H28:I28"/>
    <mergeCell ref="J28:K28"/>
    <mergeCell ref="A1:K1"/>
    <mergeCell ref="A2:K2"/>
    <mergeCell ref="A4:K4"/>
    <mergeCell ref="A5:K5"/>
    <mergeCell ref="B16:C16"/>
    <mergeCell ref="B17:C17"/>
    <mergeCell ref="B33:C33"/>
    <mergeCell ref="B34:C34"/>
    <mergeCell ref="B35:C35"/>
    <mergeCell ref="B36:C36"/>
    <mergeCell ref="B37:C37"/>
    <mergeCell ref="B42:C42"/>
    <mergeCell ref="H29:I29"/>
    <mergeCell ref="J29:K29"/>
    <mergeCell ref="H30:I30"/>
    <mergeCell ref="J30:K30"/>
    <mergeCell ref="H31:I31"/>
    <mergeCell ref="J31:K31"/>
    <mergeCell ref="B52:C52"/>
    <mergeCell ref="B53:C53"/>
    <mergeCell ref="B54:C54"/>
    <mergeCell ref="B55:C55"/>
    <mergeCell ref="B56:C56"/>
    <mergeCell ref="B58:C58"/>
    <mergeCell ref="G42:J43"/>
    <mergeCell ref="B43:C43"/>
    <mergeCell ref="B47:C47"/>
    <mergeCell ref="B48:C48"/>
    <mergeCell ref="B50:E50"/>
    <mergeCell ref="B51:C51"/>
    <mergeCell ref="B65:C65"/>
    <mergeCell ref="B66:C66"/>
    <mergeCell ref="B70:C70"/>
    <mergeCell ref="B74:C74"/>
    <mergeCell ref="B76:C76"/>
    <mergeCell ref="H76:L76"/>
    <mergeCell ref="B59:C59"/>
    <mergeCell ref="B60:C60"/>
    <mergeCell ref="B61:C61"/>
    <mergeCell ref="B62:C62"/>
    <mergeCell ref="B63:C63"/>
    <mergeCell ref="B64:C64"/>
    <mergeCell ref="H80:J80"/>
    <mergeCell ref="K80:L80"/>
    <mergeCell ref="H81:J81"/>
    <mergeCell ref="K81:L81"/>
    <mergeCell ref="H82:J82"/>
    <mergeCell ref="K82:L82"/>
    <mergeCell ref="H77:J77"/>
    <mergeCell ref="K77:L77"/>
    <mergeCell ref="B78:C78"/>
    <mergeCell ref="H78:J78"/>
    <mergeCell ref="K78:L78"/>
    <mergeCell ref="H79:J79"/>
    <mergeCell ref="K79:L79"/>
    <mergeCell ref="H86:J86"/>
    <mergeCell ref="K86:L86"/>
    <mergeCell ref="H87:J87"/>
    <mergeCell ref="K87:L87"/>
    <mergeCell ref="H88:L88"/>
    <mergeCell ref="B91:C91"/>
    <mergeCell ref="H83:J83"/>
    <mergeCell ref="K83:L83"/>
    <mergeCell ref="H84:J84"/>
    <mergeCell ref="K84:L84"/>
    <mergeCell ref="H85:J85"/>
    <mergeCell ref="K85:L85"/>
    <mergeCell ref="B108:C108"/>
    <mergeCell ref="H108:L108"/>
    <mergeCell ref="H109:J109"/>
    <mergeCell ref="K109:L109"/>
    <mergeCell ref="B110:C110"/>
    <mergeCell ref="H110:J110"/>
    <mergeCell ref="K110:L110"/>
    <mergeCell ref="B92:C92"/>
    <mergeCell ref="B94:J94"/>
    <mergeCell ref="B96:J96"/>
    <mergeCell ref="B101:C101"/>
    <mergeCell ref="B103:C103"/>
    <mergeCell ref="B106:C106"/>
    <mergeCell ref="H114:J114"/>
    <mergeCell ref="K114:L114"/>
    <mergeCell ref="H115:J115"/>
    <mergeCell ref="K115:L115"/>
    <mergeCell ref="H116:J116"/>
    <mergeCell ref="K116:L116"/>
    <mergeCell ref="H111:J111"/>
    <mergeCell ref="K111:L111"/>
    <mergeCell ref="H112:J112"/>
    <mergeCell ref="K112:L112"/>
    <mergeCell ref="H113:J113"/>
    <mergeCell ref="K113:L113"/>
    <mergeCell ref="H120:L120"/>
    <mergeCell ref="B123:C123"/>
    <mergeCell ref="B125:J125"/>
    <mergeCell ref="B127:J127"/>
    <mergeCell ref="H117:J117"/>
    <mergeCell ref="K117:L117"/>
    <mergeCell ref="H118:J118"/>
    <mergeCell ref="K118:L118"/>
    <mergeCell ref="H119:J119"/>
    <mergeCell ref="K119:L119"/>
  </mergeCells>
  <conditionalFormatting sqref="B94:J94">
    <cfRule type="expression" dxfId="30" priority="3">
      <formula>$F$91&lt;$E$28</formula>
    </cfRule>
    <cfRule type="expression" dxfId="29" priority="4">
      <formula>$H$117&lt;$F$26</formula>
    </cfRule>
  </conditionalFormatting>
  <conditionalFormatting sqref="B125:J125">
    <cfRule type="expression" dxfId="28" priority="1">
      <formula>$F$123&lt;$E$28</formula>
    </cfRule>
    <cfRule type="expression" dxfId="27" priority="2">
      <formula>$F$123&lt;$E$28</formula>
    </cfRule>
  </conditionalFormatting>
  <conditionalFormatting sqref="B127:J127">
    <cfRule type="expression" dxfId="26" priority="5">
      <formula>F103&lt;E26</formula>
    </cfRule>
    <cfRule type="expression" dxfId="25" priority="6">
      <formula>"F82&lt;E22"</formula>
    </cfRule>
  </conditionalFormatting>
  <pageMargins left="0.7" right="0.7" top="0.75" bottom="0.75" header="0.3" footer="0.3"/>
  <pageSetup paperSize="9" scale="6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19"/>
  <sheetViews>
    <sheetView topLeftCell="A106" workbookViewId="0">
      <selection activeCell="J104" sqref="J104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53.25" customHeight="1" thickBot="1" x14ac:dyDescent="0.25">
      <c r="A1" s="306" t="s">
        <v>121</v>
      </c>
      <c r="B1" s="307"/>
      <c r="C1" s="307"/>
      <c r="D1" s="307"/>
      <c r="E1" s="307"/>
      <c r="F1" s="307"/>
      <c r="G1" s="307"/>
      <c r="H1" s="307"/>
      <c r="I1" s="307"/>
      <c r="J1" s="307"/>
      <c r="K1" s="308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7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209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6.2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thickBot="1" x14ac:dyDescent="0.25">
      <c r="A7" s="32"/>
      <c r="N7" s="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B8" s="43" t="s">
        <v>39</v>
      </c>
      <c r="C8" s="44"/>
      <c r="D8" s="44"/>
      <c r="E8" s="45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B9" s="5" t="s">
        <v>37</v>
      </c>
      <c r="C9" s="149" t="s">
        <v>42</v>
      </c>
      <c r="E9" s="80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2" t="s">
        <v>38</v>
      </c>
      <c r="C10" s="150" t="s">
        <v>220</v>
      </c>
      <c r="E10" s="1" t="s">
        <v>102</v>
      </c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12" t="s">
        <v>149</v>
      </c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/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.75" thickBot="1" x14ac:dyDescent="0.25"/>
    <row r="15" spans="1:256" x14ac:dyDescent="0.2">
      <c r="B15" s="309" t="s">
        <v>152</v>
      </c>
      <c r="C15" s="310"/>
      <c r="D15" s="78" t="s">
        <v>24</v>
      </c>
      <c r="E15" s="78" t="s">
        <v>47</v>
      </c>
      <c r="F15" s="157">
        <v>1500</v>
      </c>
      <c r="H15" s="1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B16" s="311" t="s">
        <v>8</v>
      </c>
      <c r="C16" s="312"/>
      <c r="D16" s="4" t="s">
        <v>9</v>
      </c>
      <c r="E16" s="4" t="s">
        <v>10</v>
      </c>
      <c r="F16" s="158">
        <v>15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30" customFormat="1" x14ac:dyDescent="0.2">
      <c r="B17" s="318" t="s">
        <v>16</v>
      </c>
      <c r="C17" s="319"/>
      <c r="D17" s="27" t="s">
        <v>139</v>
      </c>
      <c r="E17" s="172" t="s">
        <v>213</v>
      </c>
      <c r="F17" s="158"/>
      <c r="G17" s="174">
        <f>IF(F17&lt;&gt;0,F17,3600*F18/F33)</f>
        <v>24.23076923076923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customFormat="1" ht="15.75" thickBot="1" x14ac:dyDescent="0.25">
      <c r="B18" s="320"/>
      <c r="C18" s="321"/>
      <c r="D18" s="29" t="s">
        <v>139</v>
      </c>
      <c r="E18" s="173" t="s">
        <v>97</v>
      </c>
      <c r="F18" s="159">
        <v>630</v>
      </c>
      <c r="G18" s="328" t="s">
        <v>214</v>
      </c>
      <c r="H18" s="329"/>
      <c r="I18" s="329"/>
      <c r="J18" s="32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customFormat="1" ht="15.75" thickBo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customFormat="1" ht="15.75" thickBot="1" x14ac:dyDescent="0.25">
      <c r="B20" s="98" t="s">
        <v>133</v>
      </c>
      <c r="C20" s="99"/>
      <c r="D20" s="99"/>
      <c r="E20" s="45"/>
      <c r="F20" s="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customFormat="1" x14ac:dyDescent="0.2">
      <c r="B21" s="208" t="s">
        <v>132</v>
      </c>
      <c r="C21" s="208"/>
      <c r="D21" s="154" t="s">
        <v>42</v>
      </c>
      <c r="E21" s="1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customFormat="1" x14ac:dyDescent="0.2">
      <c r="B22" s="208" t="s">
        <v>130</v>
      </c>
      <c r="C22" s="208"/>
      <c r="D22" s="154"/>
      <c r="E22" s="1"/>
      <c r="F22" s="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customFormat="1" x14ac:dyDescent="0.2">
      <c r="B23" s="314" t="s">
        <v>131</v>
      </c>
      <c r="C23" s="314"/>
      <c r="D23" s="155"/>
      <c r="E23" s="1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customFormat="1" x14ac:dyDescent="0.2">
      <c r="B24" s="180" t="s">
        <v>153</v>
      </c>
      <c r="C24" s="180"/>
      <c r="D24" s="155"/>
      <c r="E24" s="1" t="s">
        <v>154</v>
      </c>
      <c r="F24" s="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customFormat="1" x14ac:dyDescent="0.2">
      <c r="B25" s="100" t="s">
        <v>144</v>
      </c>
      <c r="C25" s="100"/>
      <c r="D25" s="101" t="s">
        <v>145</v>
      </c>
      <c r="E25" s="102">
        <f>IF(D21&lt;&gt;0,25,IF(D22&lt;&gt;0,20,IF(D23&lt;&gt;0,15,D24)))</f>
        <v>25</v>
      </c>
      <c r="F25" s="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customFormat="1" ht="15.75" thickBot="1" x14ac:dyDescent="0.25">
      <c r="B26" s="97"/>
      <c r="C26" s="97"/>
      <c r="D26" s="181"/>
      <c r="E26" s="7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customFormat="1" x14ac:dyDescent="0.2">
      <c r="B27" s="106" t="s">
        <v>172</v>
      </c>
      <c r="C27" s="114" t="s">
        <v>173</v>
      </c>
      <c r="D27" s="101" t="s">
        <v>47</v>
      </c>
      <c r="E27" s="154">
        <v>400</v>
      </c>
      <c r="F27" s="264" t="s">
        <v>211</v>
      </c>
      <c r="G27" s="265"/>
      <c r="H27" s="315" t="s">
        <v>176</v>
      </c>
      <c r="I27" s="316"/>
      <c r="J27" s="316" t="s">
        <v>177</v>
      </c>
      <c r="K27" s="31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customFormat="1" x14ac:dyDescent="0.2">
      <c r="B28" s="97"/>
      <c r="C28" s="97"/>
      <c r="D28" s="181"/>
      <c r="E28" s="7"/>
      <c r="F28" s="8"/>
      <c r="G28" s="1"/>
      <c r="H28" s="256" t="s">
        <v>178</v>
      </c>
      <c r="I28" s="268"/>
      <c r="J28" s="268" t="s">
        <v>181</v>
      </c>
      <c r="K28" s="26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customFormat="1" x14ac:dyDescent="0.2">
      <c r="B29" s="97"/>
      <c r="C29" s="97"/>
      <c r="D29" s="181"/>
      <c r="E29" s="7"/>
      <c r="F29" s="8"/>
      <c r="G29" s="1"/>
      <c r="H29" s="256" t="s">
        <v>179</v>
      </c>
      <c r="I29" s="268"/>
      <c r="J29" s="268" t="s">
        <v>182</v>
      </c>
      <c r="K29" s="2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customFormat="1" ht="15.75" thickBot="1" x14ac:dyDescent="0.25">
      <c r="B30" s="12" t="s">
        <v>44</v>
      </c>
      <c r="C30" s="3"/>
      <c r="D30" s="3"/>
      <c r="E30" s="3"/>
      <c r="F30" s="3"/>
      <c r="G30" s="1"/>
      <c r="H30" s="273" t="s">
        <v>180</v>
      </c>
      <c r="I30" s="274"/>
      <c r="J30" s="274" t="s">
        <v>183</v>
      </c>
      <c r="K30" s="27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customFormat="1" x14ac:dyDescent="0.2"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customFormat="1" x14ac:dyDescent="0.2">
      <c r="B32" s="221" t="s">
        <v>0</v>
      </c>
      <c r="C32" s="222"/>
      <c r="D32" s="4" t="s">
        <v>1</v>
      </c>
      <c r="E32" s="4" t="s">
        <v>2</v>
      </c>
      <c r="F32" s="47">
        <f>IF(C9 &lt;&gt;0,101800,43700)</f>
        <v>101800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256" x14ac:dyDescent="0.2">
      <c r="B33" s="221" t="s">
        <v>40</v>
      </c>
      <c r="C33" s="222"/>
      <c r="D33" s="4" t="s">
        <v>41</v>
      </c>
      <c r="E33" s="4" t="s">
        <v>2</v>
      </c>
      <c r="F33" s="47">
        <f>IF(C9&lt;&gt;0,93600,39500)</f>
        <v>93600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3</v>
      </c>
      <c r="C34" s="222"/>
      <c r="D34" s="4" t="s">
        <v>4</v>
      </c>
      <c r="E34" s="4" t="s">
        <v>5</v>
      </c>
      <c r="F34" s="46">
        <f>IF(C9&lt;&gt;0,1.555,0.61)</f>
        <v>1.5549999999999999</v>
      </c>
      <c r="H34" s="12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6</v>
      </c>
      <c r="C35" s="222"/>
      <c r="D35" s="11" t="s">
        <v>21</v>
      </c>
      <c r="E35" s="4" t="s">
        <v>155</v>
      </c>
      <c r="F35" s="46">
        <f>IF(C9&lt;&gt;0,0.8,1.06)</f>
        <v>0.8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45</v>
      </c>
      <c r="C36" s="222"/>
      <c r="D36" s="17" t="s">
        <v>18</v>
      </c>
      <c r="E36" s="4" t="s">
        <v>43</v>
      </c>
      <c r="F36" s="46">
        <f>IF(C9&lt;&gt;0,2.02,0.82)</f>
        <v>2.02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97"/>
      <c r="C37" s="97"/>
      <c r="D37" s="11"/>
      <c r="E37" s="7"/>
      <c r="F37" s="10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.75" thickBot="1" x14ac:dyDescent="0.25"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24.75" customHeight="1" thickBot="1" x14ac:dyDescent="0.35">
      <c r="A39" s="135" t="s">
        <v>190</v>
      </c>
      <c r="B39" s="131" t="s">
        <v>136</v>
      </c>
      <c r="C39" s="132"/>
      <c r="D39" s="133"/>
      <c r="E39" s="133"/>
      <c r="F39" s="133"/>
      <c r="G39" s="133"/>
      <c r="H39" s="133"/>
      <c r="I39" s="133"/>
      <c r="J39" s="133"/>
      <c r="K39" s="134"/>
      <c r="L39" s="3"/>
      <c r="M39" s="12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B41" s="313" t="s">
        <v>137</v>
      </c>
      <c r="C41" s="313"/>
      <c r="D41" s="107" t="s">
        <v>138</v>
      </c>
      <c r="E41" s="107" t="s">
        <v>143</v>
      </c>
      <c r="F41" s="108">
        <f>G17*(273+F16)/((1+F15/1000)*273)</f>
        <v>10.224852071005916</v>
      </c>
      <c r="G41" s="330" t="s">
        <v>215</v>
      </c>
      <c r="H41" s="331"/>
      <c r="I41" s="331"/>
      <c r="J41" s="33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267" t="s">
        <v>84</v>
      </c>
      <c r="C42" s="267"/>
      <c r="D42" s="111"/>
      <c r="E42" s="109" t="s">
        <v>97</v>
      </c>
      <c r="F42" s="110">
        <f>IF(F18&lt;&gt;0,F18,F33*F17/3600)</f>
        <v>630</v>
      </c>
      <c r="G42" s="330"/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.75" thickBot="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24.75" customHeight="1" thickBot="1" x14ac:dyDescent="0.35">
      <c r="A44" s="135" t="s">
        <v>189</v>
      </c>
      <c r="B44" s="131" t="s">
        <v>140</v>
      </c>
      <c r="C44" s="132"/>
      <c r="D44" s="133"/>
      <c r="E44" s="133"/>
      <c r="F44" s="133"/>
      <c r="G44" s="133"/>
      <c r="H44" s="133"/>
      <c r="I44" s="133"/>
      <c r="J44" s="133"/>
      <c r="K44" s="134"/>
      <c r="L44" s="3"/>
      <c r="M44" s="12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B46" s="327" t="s">
        <v>141</v>
      </c>
      <c r="C46" s="327"/>
      <c r="D46" s="145" t="s">
        <v>142</v>
      </c>
      <c r="E46" s="145" t="s">
        <v>96</v>
      </c>
      <c r="F46" s="146">
        <f>18.8*SQRT(F41/E25)</f>
        <v>12.023097298078113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266" t="s">
        <v>100</v>
      </c>
      <c r="C47" s="266"/>
      <c r="D47" s="126" t="s">
        <v>184</v>
      </c>
      <c r="E47" s="127" t="s">
        <v>99</v>
      </c>
      <c r="F47" s="110">
        <f>$F$41*4/(3600*3.14* ($F$46/1000)^2)</f>
        <v>25.029498766065743</v>
      </c>
      <c r="H47" s="124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thickBot="1" x14ac:dyDescent="0.25">
      <c r="B48" s="142"/>
      <c r="C48" s="142"/>
      <c r="D48" s="143"/>
      <c r="E48" s="144"/>
      <c r="F48" s="124"/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30" customFormat="1" ht="15.75" thickBot="1" x14ac:dyDescent="0.25">
      <c r="B49" s="323" t="s">
        <v>193</v>
      </c>
      <c r="C49" s="324"/>
      <c r="D49" s="324"/>
      <c r="E49" s="32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2:30" customFormat="1" x14ac:dyDescent="0.2">
      <c r="B50" s="332" t="s">
        <v>194</v>
      </c>
      <c r="C50" s="332"/>
      <c r="D50" s="147" t="s">
        <v>78</v>
      </c>
      <c r="E50" s="149">
        <v>26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2:30" customFormat="1" x14ac:dyDescent="0.2">
      <c r="B51" s="208" t="s">
        <v>195</v>
      </c>
      <c r="C51" s="208"/>
      <c r="D51" s="27" t="s">
        <v>208</v>
      </c>
      <c r="E51" s="15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2:30" customFormat="1" x14ac:dyDescent="0.2">
      <c r="B52" s="208" t="s">
        <v>196</v>
      </c>
      <c r="C52" s="208"/>
      <c r="D52" s="27" t="s">
        <v>208</v>
      </c>
      <c r="E52" s="15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2:30" customFormat="1" x14ac:dyDescent="0.2">
      <c r="B53" s="208" t="s">
        <v>197</v>
      </c>
      <c r="C53" s="208"/>
      <c r="D53" s="27" t="s">
        <v>208</v>
      </c>
      <c r="E53" s="15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0" customFormat="1" x14ac:dyDescent="0.2">
      <c r="B54" s="208" t="s">
        <v>198</v>
      </c>
      <c r="C54" s="208"/>
      <c r="D54" s="27" t="s">
        <v>208</v>
      </c>
      <c r="E54" s="15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0" customFormat="1" x14ac:dyDescent="0.2">
      <c r="B55" s="208" t="s">
        <v>199</v>
      </c>
      <c r="C55" s="208"/>
      <c r="D55" s="27" t="s">
        <v>208</v>
      </c>
      <c r="E55" s="15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0" customFormat="1" x14ac:dyDescent="0.2">
      <c r="B56" s="2" t="s">
        <v>200</v>
      </c>
      <c r="C56" s="141"/>
      <c r="D56" s="27" t="s">
        <v>208</v>
      </c>
      <c r="E56" s="150">
        <v>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30" customFormat="1" x14ac:dyDescent="0.2">
      <c r="B57" s="208" t="s">
        <v>201</v>
      </c>
      <c r="C57" s="208"/>
      <c r="D57" s="27" t="s">
        <v>208</v>
      </c>
      <c r="E57" s="15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30" customFormat="1" x14ac:dyDescent="0.2">
      <c r="B58" s="208" t="s">
        <v>202</v>
      </c>
      <c r="C58" s="208"/>
      <c r="D58" s="27" t="s">
        <v>208</v>
      </c>
      <c r="E58" s="15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30" customFormat="1" x14ac:dyDescent="0.2">
      <c r="B59" s="208" t="s">
        <v>203</v>
      </c>
      <c r="C59" s="208"/>
      <c r="D59" s="27" t="s">
        <v>208</v>
      </c>
      <c r="E59" s="15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30" customFormat="1" x14ac:dyDescent="0.2">
      <c r="B60" s="208" t="s">
        <v>204</v>
      </c>
      <c r="C60" s="208"/>
      <c r="D60" s="27" t="s">
        <v>208</v>
      </c>
      <c r="E60" s="15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30" customFormat="1" x14ac:dyDescent="0.2">
      <c r="B61" s="208" t="s">
        <v>205</v>
      </c>
      <c r="C61" s="208"/>
      <c r="D61" s="27" t="s">
        <v>208</v>
      </c>
      <c r="E61" s="150">
        <v>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30" customFormat="1" x14ac:dyDescent="0.2">
      <c r="B62" s="208" t="s">
        <v>206</v>
      </c>
      <c r="C62" s="208"/>
      <c r="D62" s="27" t="s">
        <v>208</v>
      </c>
      <c r="E62" s="15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30" customFormat="1" x14ac:dyDescent="0.2">
      <c r="B63" s="208" t="s">
        <v>207</v>
      </c>
      <c r="C63" s="208"/>
      <c r="D63" s="27" t="s">
        <v>208</v>
      </c>
      <c r="E63" s="15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30" customFormat="1" x14ac:dyDescent="0.2">
      <c r="B64" s="322"/>
      <c r="C64" s="322"/>
      <c r="D64" s="18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256" x14ac:dyDescent="0.2">
      <c r="B65" s="326" t="s">
        <v>192</v>
      </c>
      <c r="C65" s="326"/>
      <c r="D65" s="139" t="s">
        <v>13</v>
      </c>
      <c r="E65" s="140" t="s">
        <v>78</v>
      </c>
      <c r="F65" s="148">
        <f>E50+(166*E51+70*E52+25*E53+60*E54+40*E55+25*E56+17*E57+16*E58+18*E59+25*E60+100*E61+100*E62+25*E63)*F46/1000</f>
        <v>28.104042027163668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thickBot="1" x14ac:dyDescent="0.25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24.75" customHeight="1" thickBot="1" x14ac:dyDescent="0.35">
      <c r="A67" s="135" t="s">
        <v>188</v>
      </c>
      <c r="B67" s="131" t="s">
        <v>146</v>
      </c>
      <c r="C67" s="136"/>
      <c r="D67" s="137"/>
      <c r="E67" s="137"/>
      <c r="F67" s="137"/>
      <c r="G67" s="137"/>
      <c r="H67" s="137"/>
      <c r="I67" s="137"/>
      <c r="J67" s="137"/>
      <c r="K67" s="138"/>
      <c r="L67" s="3"/>
      <c r="M67" s="12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B69" s="286" t="s">
        <v>147</v>
      </c>
      <c r="C69" s="286"/>
      <c r="D69" s="101" t="s">
        <v>148</v>
      </c>
      <c r="E69" s="101" t="s">
        <v>47</v>
      </c>
      <c r="F69" s="104">
        <f>IF(F18&lt;&gt;0,0.5*F34*F65*F18*3600*E25^2/(F46*F41*F33),0.5*F34*F65*F17*E25^2/(F46*F41))</f>
        <v>2691.8013558252178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B73" s="288" t="s">
        <v>150</v>
      </c>
      <c r="C73" s="288"/>
      <c r="D73" s="109" t="s">
        <v>151</v>
      </c>
      <c r="E73" s="120" t="s">
        <v>171</v>
      </c>
      <c r="F73" s="113">
        <f>IF(F17&lt;&gt;0,0.45*100000*F17*F34/(F35*F46),0.45*100000*F18*3600*F34/(F33*F35*F46))</f>
        <v>176280.29147636</v>
      </c>
      <c r="G73" s="113">
        <f>0.45*100000*F17*F34/(F35*F46)</f>
        <v>0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thickBot="1" x14ac:dyDescent="0.25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B75" s="289" t="s">
        <v>156</v>
      </c>
      <c r="C75" s="290"/>
      <c r="D75" s="2" t="s">
        <v>20</v>
      </c>
      <c r="E75" s="2" t="s">
        <v>116</v>
      </c>
      <c r="F75" s="153">
        <v>0.04</v>
      </c>
      <c r="H75" s="291" t="s">
        <v>169</v>
      </c>
      <c r="I75" s="292"/>
      <c r="J75" s="292"/>
      <c r="K75" s="292"/>
      <c r="L75" s="29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115"/>
      <c r="C76" s="115"/>
      <c r="D76" s="3"/>
      <c r="E76" s="3"/>
      <c r="F76" s="8"/>
      <c r="H76" s="295" t="s">
        <v>33</v>
      </c>
      <c r="I76" s="296"/>
      <c r="J76" s="297"/>
      <c r="K76" s="298" t="s">
        <v>34</v>
      </c>
      <c r="L76" s="299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9"/>
      <c r="B77" s="300" t="s">
        <v>170</v>
      </c>
      <c r="C77" s="300"/>
      <c r="D77" s="3"/>
      <c r="E77" s="3"/>
      <c r="F77" s="3"/>
      <c r="G77" s="3"/>
      <c r="H77" s="301" t="s">
        <v>25</v>
      </c>
      <c r="I77" s="302"/>
      <c r="J77" s="303"/>
      <c r="K77" s="304"/>
      <c r="L77" s="305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2">
      <c r="B78" s="116" t="s">
        <v>157</v>
      </c>
      <c r="C78" s="116"/>
      <c r="D78" s="116"/>
      <c r="E78" s="116"/>
      <c r="F78" s="117">
        <f>IF(AND(AND($F$42&lt;&gt;0,$F$46&lt;&gt;0),$F$15&lt;&gt;0),-4*LOG10($F$75/(3.7*$F$46)+5.1286/($F$73^0.89)),"")</f>
        <v>11.984366839063656</v>
      </c>
      <c r="H78" s="250" t="s">
        <v>26</v>
      </c>
      <c r="I78" s="281"/>
      <c r="J78" s="282"/>
      <c r="K78" s="270">
        <v>0.01</v>
      </c>
      <c r="L78" s="271"/>
    </row>
    <row r="79" spans="1:256" ht="15" customHeight="1" x14ac:dyDescent="0.2">
      <c r="A79" s="3"/>
      <c r="B79" s="116" t="s">
        <v>158</v>
      </c>
      <c r="C79" s="116"/>
      <c r="D79" s="116"/>
      <c r="E79" s="116"/>
      <c r="F79" s="117">
        <f t="shared" ref="F79:F87" si="0">IF(AND(AND($F$42&lt;&gt;0,$F$46&lt;&gt;0),$F$15&lt;&gt;0),-4*LOG10($F$75/(3.7*$F$46)+1.413*F78/($F$73^0.89)),"")</f>
        <v>11.595839671776975</v>
      </c>
      <c r="G79" s="3"/>
      <c r="H79" s="256" t="s">
        <v>27</v>
      </c>
      <c r="I79" s="268"/>
      <c r="J79" s="269"/>
      <c r="K79" s="270">
        <v>0.05</v>
      </c>
      <c r="L79" s="271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customHeight="1" x14ac:dyDescent="0.2">
      <c r="A80" s="3"/>
      <c r="B80" s="116" t="s">
        <v>159</v>
      </c>
      <c r="C80" s="116"/>
      <c r="D80" s="116"/>
      <c r="E80" s="116"/>
      <c r="F80" s="117">
        <f t="shared" si="0"/>
        <v>11.612105571053814</v>
      </c>
      <c r="G80" s="3"/>
      <c r="H80" s="283"/>
      <c r="I80" s="284"/>
      <c r="J80" s="285"/>
      <c r="K80" s="270"/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160</v>
      </c>
      <c r="C81" s="116"/>
      <c r="D81" s="116"/>
      <c r="E81" s="116"/>
      <c r="F81" s="117">
        <f t="shared" si="0"/>
        <v>11.611421526985479</v>
      </c>
      <c r="G81" s="3"/>
      <c r="H81" s="278" t="s">
        <v>28</v>
      </c>
      <c r="I81" s="279"/>
      <c r="J81" s="280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161</v>
      </c>
      <c r="C82" s="116"/>
      <c r="D82" s="116"/>
      <c r="E82" s="116"/>
      <c r="F82" s="117">
        <f t="shared" si="0"/>
        <v>11.611450288263242</v>
      </c>
      <c r="G82" s="3"/>
      <c r="H82" s="256" t="s">
        <v>29</v>
      </c>
      <c r="I82" s="268"/>
      <c r="J82" s="269"/>
      <c r="K82" s="270">
        <v>0.04</v>
      </c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162</v>
      </c>
      <c r="C83" s="116"/>
      <c r="D83" s="116"/>
      <c r="E83" s="116"/>
      <c r="F83" s="117">
        <f t="shared" si="0"/>
        <v>11.611449078958612</v>
      </c>
      <c r="G83" s="3"/>
      <c r="H83" s="256" t="s">
        <v>30</v>
      </c>
      <c r="I83" s="268"/>
      <c r="J83" s="269"/>
      <c r="K83" s="270">
        <v>0.08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163</v>
      </c>
      <c r="C84" s="116"/>
      <c r="D84" s="116"/>
      <c r="E84" s="116"/>
      <c r="F84" s="117">
        <f t="shared" si="0"/>
        <v>11.611449129805353</v>
      </c>
      <c r="G84" s="3"/>
      <c r="H84" s="256" t="s">
        <v>31</v>
      </c>
      <c r="I84" s="268"/>
      <c r="J84" s="269"/>
      <c r="K84" s="270">
        <v>0.4</v>
      </c>
      <c r="L84" s="271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164</v>
      </c>
      <c r="C85" s="116"/>
      <c r="D85" s="116"/>
      <c r="E85" s="116"/>
      <c r="F85" s="117">
        <f t="shared" si="0"/>
        <v>11.611449127667438</v>
      </c>
      <c r="G85" s="3"/>
      <c r="H85" s="256" t="s">
        <v>32</v>
      </c>
      <c r="I85" s="268"/>
      <c r="J85" s="269"/>
      <c r="K85" s="272">
        <v>0.02</v>
      </c>
      <c r="L85" s="23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thickBot="1" x14ac:dyDescent="0.25">
      <c r="A86" s="3"/>
      <c r="B86" s="116" t="s">
        <v>165</v>
      </c>
      <c r="C86" s="116"/>
      <c r="D86" s="116"/>
      <c r="E86" s="116"/>
      <c r="F86" s="117">
        <f t="shared" si="0"/>
        <v>11.611449127757329</v>
      </c>
      <c r="G86" s="3"/>
      <c r="H86" s="273" t="s">
        <v>129</v>
      </c>
      <c r="I86" s="274"/>
      <c r="J86" s="275"/>
      <c r="K86" s="276">
        <v>2E-3</v>
      </c>
      <c r="L86" s="27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1" t="s">
        <v>166</v>
      </c>
      <c r="C87" s="111"/>
      <c r="D87" s="111"/>
      <c r="E87" s="111"/>
      <c r="F87" s="118">
        <f t="shared" si="0"/>
        <v>11.611449127753549</v>
      </c>
      <c r="G87" s="3"/>
      <c r="H87" s="240" t="s">
        <v>35</v>
      </c>
      <c r="I87" s="241"/>
      <c r="J87" s="241"/>
      <c r="K87" s="241"/>
      <c r="L87" s="24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286" t="s">
        <v>167</v>
      </c>
      <c r="C90" s="286"/>
      <c r="D90" s="114" t="s">
        <v>168</v>
      </c>
      <c r="E90" s="101" t="s">
        <v>47</v>
      </c>
      <c r="F90" s="102">
        <f>F69*50/F87^2</f>
        <v>998.25194331447676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63" t="s">
        <v>141</v>
      </c>
      <c r="C91" s="263"/>
      <c r="D91" s="125" t="s">
        <v>142</v>
      </c>
      <c r="E91" s="125" t="s">
        <v>96</v>
      </c>
      <c r="F91" s="168">
        <f>F46</f>
        <v>12.023097298078113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20.25" x14ac:dyDescent="0.2">
      <c r="A93" s="3"/>
      <c r="B93" s="186" t="str">
        <f>IF(F90&gt;=E27,"Tryktab for stort. Gå til pkt 4. nedenfor","Tryktab mindre end tilladeligt tryktab. Rørdiameter ok")</f>
        <v>Tryktab for stort. Gå til pkt 4. nedenfor</v>
      </c>
      <c r="C93" s="186"/>
      <c r="D93" s="186"/>
      <c r="E93" s="186"/>
      <c r="F93" s="186"/>
      <c r="G93" s="186"/>
      <c r="H93" s="186"/>
      <c r="I93" s="186"/>
      <c r="J93" s="18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8" x14ac:dyDescent="0.25">
      <c r="A95" s="3"/>
      <c r="B95" s="294" t="s">
        <v>186</v>
      </c>
      <c r="C95" s="294"/>
      <c r="D95" s="294"/>
      <c r="E95" s="294"/>
      <c r="F95" s="294"/>
      <c r="G95" s="294"/>
      <c r="H95" s="294"/>
      <c r="I95" s="294"/>
      <c r="J95" s="29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thickBo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24.75" customHeight="1" thickBot="1" x14ac:dyDescent="0.35">
      <c r="A97" s="135" t="s">
        <v>187</v>
      </c>
      <c r="B97" s="131" t="s">
        <v>191</v>
      </c>
      <c r="C97" s="136"/>
      <c r="D97" s="137"/>
      <c r="E97" s="137"/>
      <c r="F97" s="137"/>
      <c r="G97" s="137"/>
      <c r="H97" s="137"/>
      <c r="I97" s="137"/>
      <c r="J97" s="137"/>
      <c r="K97" s="1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B99" s="179" t="s">
        <v>185</v>
      </c>
      <c r="C99" s="179"/>
      <c r="D99" s="114" t="s">
        <v>15</v>
      </c>
      <c r="E99" s="101" t="s">
        <v>96</v>
      </c>
      <c r="F99" s="104">
        <f>(($F$90/$E$27)^0.2)*$F$46</f>
        <v>14.436183583095952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287" t="s">
        <v>210</v>
      </c>
      <c r="C100" s="287"/>
      <c r="D100" s="128" t="s">
        <v>15</v>
      </c>
      <c r="E100" s="125" t="s">
        <v>96</v>
      </c>
      <c r="F100" s="156">
        <v>15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thickBot="1" x14ac:dyDescent="0.25">
      <c r="G101" s="1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B102" s="267" t="s">
        <v>100</v>
      </c>
      <c r="C102" s="267"/>
      <c r="D102" s="120" t="s">
        <v>184</v>
      </c>
      <c r="E102" s="109" t="s">
        <v>99</v>
      </c>
      <c r="F102" s="129">
        <f>$F$41*4/(3600*3.14* ($F$100/1000)^2)</f>
        <v>16.080604027688789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B105" s="288" t="s">
        <v>150</v>
      </c>
      <c r="C105" s="288"/>
      <c r="D105" s="109" t="s">
        <v>151</v>
      </c>
      <c r="E105" s="120" t="s">
        <v>171</v>
      </c>
      <c r="F105" s="113">
        <f>IF(F18&lt;&gt;0,0.45*100000*$F$18*3600*$F$34/($F$35*F100*F33),0.45*100000*$F$17*$F$34/($F$35*F100))</f>
        <v>141295.67307692306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thickBot="1" x14ac:dyDescent="0.25"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B107" s="289" t="s">
        <v>156</v>
      </c>
      <c r="C107" s="290"/>
      <c r="D107" s="2" t="s">
        <v>20</v>
      </c>
      <c r="E107" s="2" t="s">
        <v>116</v>
      </c>
      <c r="F107" s="153">
        <v>0.04</v>
      </c>
      <c r="H107" s="291" t="s">
        <v>169</v>
      </c>
      <c r="I107" s="292"/>
      <c r="J107" s="292"/>
      <c r="K107" s="292"/>
      <c r="L107" s="2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115"/>
      <c r="C108" s="115"/>
      <c r="D108" s="3"/>
      <c r="E108" s="3"/>
      <c r="F108" s="8"/>
      <c r="H108" s="295" t="s">
        <v>33</v>
      </c>
      <c r="I108" s="296"/>
      <c r="J108" s="297"/>
      <c r="K108" s="298" t="s">
        <v>34</v>
      </c>
      <c r="L108" s="29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9"/>
      <c r="B109" s="300" t="s">
        <v>170</v>
      </c>
      <c r="C109" s="300"/>
      <c r="D109" s="3"/>
      <c r="E109" s="3"/>
      <c r="F109" s="3"/>
      <c r="G109" s="3"/>
      <c r="H109" s="301" t="s">
        <v>25</v>
      </c>
      <c r="I109" s="302"/>
      <c r="J109" s="303"/>
      <c r="K109" s="304"/>
      <c r="L109" s="30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B110" s="116" t="s">
        <v>157</v>
      </c>
      <c r="C110" s="116"/>
      <c r="D110" s="116"/>
      <c r="E110" s="116"/>
      <c r="F110" s="117">
        <f>IF(AND(AND($F$42&lt;&gt;0,$F$100&lt;&gt;0),$F$15&lt;&gt;0),-4*LOG10($F$107/(3.7*$F$100)+5.1286/($F$105^0.89)),"")</f>
        <v>12.273154682309249</v>
      </c>
      <c r="H110" s="250" t="s">
        <v>26</v>
      </c>
      <c r="I110" s="281"/>
      <c r="J110" s="282"/>
      <c r="K110" s="270">
        <v>0.01</v>
      </c>
      <c r="L110" s="27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3"/>
      <c r="B111" s="116" t="s">
        <v>158</v>
      </c>
      <c r="C111" s="116"/>
      <c r="D111" s="116"/>
      <c r="E111" s="116"/>
      <c r="F111" s="117">
        <f t="shared" ref="F111:F118" si="1">IF(AND(AND($F$42&lt;&gt;0,$F$100&lt;&gt;0),$F$15&lt;&gt;0),-4*LOG10($F$107/(3.7*$F$100)+1.413*F110/($F$105^0.89)),"")</f>
        <v>11.722689202643009</v>
      </c>
      <c r="G111" s="3"/>
      <c r="H111" s="256" t="s">
        <v>27</v>
      </c>
      <c r="I111" s="268"/>
      <c r="J111" s="269"/>
      <c r="K111" s="270">
        <v>0.05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159</v>
      </c>
      <c r="C112" s="116"/>
      <c r="D112" s="116"/>
      <c r="E112" s="116"/>
      <c r="F112" s="117">
        <f t="shared" si="1"/>
        <v>11.752997194185729</v>
      </c>
      <c r="G112" s="3"/>
      <c r="H112" s="283"/>
      <c r="I112" s="284"/>
      <c r="J112" s="285"/>
      <c r="K112" s="270"/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160</v>
      </c>
      <c r="C113" s="116"/>
      <c r="D113" s="116"/>
      <c r="E113" s="116"/>
      <c r="F113" s="117">
        <f t="shared" si="1"/>
        <v>11.751314644502997</v>
      </c>
      <c r="G113" s="3"/>
      <c r="H113" s="278" t="s">
        <v>28</v>
      </c>
      <c r="I113" s="279"/>
      <c r="J113" s="280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161</v>
      </c>
      <c r="C114" s="116"/>
      <c r="D114" s="116"/>
      <c r="E114" s="116"/>
      <c r="F114" s="117">
        <f t="shared" si="1"/>
        <v>11.751408008622411</v>
      </c>
      <c r="G114" s="3"/>
      <c r="H114" s="256" t="s">
        <v>29</v>
      </c>
      <c r="I114" s="268"/>
      <c r="J114" s="269"/>
      <c r="K114" s="270">
        <v>0.04</v>
      </c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162</v>
      </c>
      <c r="C115" s="116"/>
      <c r="D115" s="116"/>
      <c r="E115" s="116"/>
      <c r="F115" s="117">
        <f t="shared" si="1"/>
        <v>11.751402827747141</v>
      </c>
      <c r="G115" s="3"/>
      <c r="H115" s="256" t="s">
        <v>30</v>
      </c>
      <c r="I115" s="268"/>
      <c r="J115" s="269"/>
      <c r="K115" s="270">
        <v>0.08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163</v>
      </c>
      <c r="C116" s="116"/>
      <c r="D116" s="116"/>
      <c r="E116" s="116"/>
      <c r="F116" s="117">
        <f t="shared" si="1"/>
        <v>11.75140311523907</v>
      </c>
      <c r="G116" s="3"/>
      <c r="H116" s="256" t="s">
        <v>31</v>
      </c>
      <c r="I116" s="268"/>
      <c r="J116" s="269"/>
      <c r="K116" s="270">
        <v>0.4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164</v>
      </c>
      <c r="C117" s="116"/>
      <c r="D117" s="116"/>
      <c r="E117" s="116"/>
      <c r="F117" s="117">
        <f t="shared" si="1"/>
        <v>11.751403099285856</v>
      </c>
      <c r="G117" s="3"/>
      <c r="H117" s="256" t="s">
        <v>32</v>
      </c>
      <c r="I117" s="268"/>
      <c r="J117" s="269"/>
      <c r="K117" s="272">
        <v>0.02</v>
      </c>
      <c r="L117" s="23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thickBot="1" x14ac:dyDescent="0.25">
      <c r="A118" s="3"/>
      <c r="B118" s="116" t="s">
        <v>165</v>
      </c>
      <c r="C118" s="116"/>
      <c r="D118" s="116"/>
      <c r="E118" s="116"/>
      <c r="F118" s="117">
        <f t="shared" si="1"/>
        <v>11.751403100171116</v>
      </c>
      <c r="G118" s="3"/>
      <c r="H118" s="273" t="s">
        <v>129</v>
      </c>
      <c r="I118" s="274"/>
      <c r="J118" s="275"/>
      <c r="K118" s="276">
        <v>2E-3</v>
      </c>
      <c r="L118" s="27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1" t="s">
        <v>166</v>
      </c>
      <c r="C119" s="111"/>
      <c r="D119" s="111"/>
      <c r="E119" s="111"/>
      <c r="F119" s="118">
        <f>IF(AND(AND($F$42&lt;&gt;0,$F$46&lt;&gt;0),$F$15&lt;&gt;0),-4*LOG10($F$107/(3.7*$F$46)+1.413*F118/($F$73^0.89)),"")</f>
        <v>11.605574530494161</v>
      </c>
      <c r="G119" s="3"/>
      <c r="H119" s="240" t="s">
        <v>35</v>
      </c>
      <c r="I119" s="241"/>
      <c r="J119" s="241"/>
      <c r="K119" s="241"/>
      <c r="L119" s="24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286" t="s">
        <v>167</v>
      </c>
      <c r="C122" s="286"/>
      <c r="D122" s="114" t="s">
        <v>168</v>
      </c>
      <c r="E122" s="101" t="s">
        <v>47</v>
      </c>
      <c r="F122" s="102">
        <f>IF(F18&lt;&gt;0,3.24*F41*F18*3600*F65*F34*1000000/(F33*F119^2*F100^5),3.24*F41*F17*F65*F34*1000000/(F119^2*F100^5))</f>
        <v>342.9879319633734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20.25" x14ac:dyDescent="0.2">
      <c r="A124" s="3"/>
      <c r="B124" s="186" t="str">
        <f>IF(F122&gt;=E27,"Tryktab for stort. Vælg større rørdiameter","Tryktab mindre end tilladeligt tryktab. Rørdiameter ok")</f>
        <v>Tryktab mindre end tilladeligt tryktab. Rørdiameter ok</v>
      </c>
      <c r="C124" s="186"/>
      <c r="D124" s="186"/>
      <c r="E124" s="186"/>
      <c r="F124" s="186"/>
      <c r="G124" s="186"/>
      <c r="H124" s="186"/>
      <c r="I124" s="186"/>
      <c r="J124" s="186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20.25" customHeight="1" x14ac:dyDescent="0.2">
      <c r="A126" s="3"/>
      <c r="B126" s="186" t="str">
        <f>IF(F102&gt;=E25,"Flowhastighed for stor, vælg størrer rørdiameter","Flowhastighed mindre end maksimal tilladelig. Rørdiameter ok")</f>
        <v>Flowhastighed mindre end maksimal tilladelig. Rørdiameter ok</v>
      </c>
      <c r="C126" s="186"/>
      <c r="D126" s="186"/>
      <c r="E126" s="186"/>
      <c r="F126" s="186"/>
      <c r="G126" s="186"/>
      <c r="H126" s="186"/>
      <c r="I126" s="186"/>
      <c r="J126" s="186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</sheetData>
  <mergeCells count="109">
    <mergeCell ref="B21:C21"/>
    <mergeCell ref="B22:C22"/>
    <mergeCell ref="B23:C23"/>
    <mergeCell ref="F27:G27"/>
    <mergeCell ref="H27:I27"/>
    <mergeCell ref="J27:K27"/>
    <mergeCell ref="A1:K1"/>
    <mergeCell ref="A3:K3"/>
    <mergeCell ref="A4:K4"/>
    <mergeCell ref="B15:C15"/>
    <mergeCell ref="B16:C16"/>
    <mergeCell ref="B17:C18"/>
    <mergeCell ref="G18:J18"/>
    <mergeCell ref="B32:C32"/>
    <mergeCell ref="B33:C33"/>
    <mergeCell ref="B34:C34"/>
    <mergeCell ref="B35:C35"/>
    <mergeCell ref="B36:C36"/>
    <mergeCell ref="B41:C41"/>
    <mergeCell ref="H28:I28"/>
    <mergeCell ref="J28:K28"/>
    <mergeCell ref="H29:I29"/>
    <mergeCell ref="J29:K29"/>
    <mergeCell ref="H30:I30"/>
    <mergeCell ref="J30:K30"/>
    <mergeCell ref="B51:C51"/>
    <mergeCell ref="B52:C52"/>
    <mergeCell ref="B53:C53"/>
    <mergeCell ref="B54:C54"/>
    <mergeCell ref="B55:C55"/>
    <mergeCell ref="B57:C57"/>
    <mergeCell ref="G41:J42"/>
    <mergeCell ref="B42:C42"/>
    <mergeCell ref="B46:C46"/>
    <mergeCell ref="B47:C47"/>
    <mergeCell ref="B49:E49"/>
    <mergeCell ref="B50:C50"/>
    <mergeCell ref="B64:C64"/>
    <mergeCell ref="B65:C65"/>
    <mergeCell ref="B69:C69"/>
    <mergeCell ref="B73:C73"/>
    <mergeCell ref="B75:C75"/>
    <mergeCell ref="H75:L75"/>
    <mergeCell ref="B58:C58"/>
    <mergeCell ref="B59:C59"/>
    <mergeCell ref="B60:C60"/>
    <mergeCell ref="B61:C61"/>
    <mergeCell ref="B62:C62"/>
    <mergeCell ref="B63:C63"/>
    <mergeCell ref="H79:J79"/>
    <mergeCell ref="K79:L79"/>
    <mergeCell ref="H80:J80"/>
    <mergeCell ref="K80:L80"/>
    <mergeCell ref="H81:J81"/>
    <mergeCell ref="K81:L81"/>
    <mergeCell ref="H76:J76"/>
    <mergeCell ref="K76:L76"/>
    <mergeCell ref="B77:C77"/>
    <mergeCell ref="H77:J77"/>
    <mergeCell ref="K77:L77"/>
    <mergeCell ref="H78:J78"/>
    <mergeCell ref="K78:L78"/>
    <mergeCell ref="H85:J85"/>
    <mergeCell ref="K85:L85"/>
    <mergeCell ref="H86:J86"/>
    <mergeCell ref="K86:L86"/>
    <mergeCell ref="H87:L87"/>
    <mergeCell ref="B90:C90"/>
    <mergeCell ref="H82:J82"/>
    <mergeCell ref="K82:L82"/>
    <mergeCell ref="H83:J83"/>
    <mergeCell ref="K83:L83"/>
    <mergeCell ref="H84:J84"/>
    <mergeCell ref="K84:L84"/>
    <mergeCell ref="B107:C107"/>
    <mergeCell ref="H107:L107"/>
    <mergeCell ref="H108:J108"/>
    <mergeCell ref="K108:L108"/>
    <mergeCell ref="B109:C109"/>
    <mergeCell ref="H109:J109"/>
    <mergeCell ref="K109:L109"/>
    <mergeCell ref="B91:C91"/>
    <mergeCell ref="B93:J93"/>
    <mergeCell ref="B95:J95"/>
    <mergeCell ref="B100:C100"/>
    <mergeCell ref="B102:C102"/>
    <mergeCell ref="B105:C105"/>
    <mergeCell ref="H113:J113"/>
    <mergeCell ref="K113:L113"/>
    <mergeCell ref="H114:J114"/>
    <mergeCell ref="K114:L114"/>
    <mergeCell ref="H115:J115"/>
    <mergeCell ref="K115:L115"/>
    <mergeCell ref="H110:J110"/>
    <mergeCell ref="K110:L110"/>
    <mergeCell ref="H111:J111"/>
    <mergeCell ref="K111:L111"/>
    <mergeCell ref="H112:J112"/>
    <mergeCell ref="K112:L112"/>
    <mergeCell ref="H119:L119"/>
    <mergeCell ref="B122:C122"/>
    <mergeCell ref="B124:J124"/>
    <mergeCell ref="B126:J126"/>
    <mergeCell ref="H116:J116"/>
    <mergeCell ref="K116:L116"/>
    <mergeCell ref="H117:J117"/>
    <mergeCell ref="K117:L117"/>
    <mergeCell ref="H118:J118"/>
    <mergeCell ref="K118:L118"/>
  </mergeCells>
  <conditionalFormatting sqref="B93:J93">
    <cfRule type="expression" dxfId="24" priority="3">
      <formula>$F$90&lt;$E$27</formula>
    </cfRule>
    <cfRule type="expression" dxfId="23" priority="4">
      <formula>$H$116&lt;$F$25</formula>
    </cfRule>
  </conditionalFormatting>
  <conditionalFormatting sqref="B124:J124">
    <cfRule type="expression" dxfId="22" priority="1">
      <formula>$F$122&lt;$E$27</formula>
    </cfRule>
    <cfRule type="expression" dxfId="21" priority="2">
      <formula>$F$122&lt;$E$27</formula>
    </cfRule>
  </conditionalFormatting>
  <conditionalFormatting sqref="B126:J126">
    <cfRule type="expression" dxfId="20" priority="5">
      <formula>F102&lt;E25</formula>
    </cfRule>
    <cfRule type="expression" dxfId="19" priority="6">
      <formula>"F82&lt;E22"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19"/>
  <sheetViews>
    <sheetView topLeftCell="A79" workbookViewId="0">
      <selection activeCell="G100" sqref="G100"/>
    </sheetView>
  </sheetViews>
  <sheetFormatPr defaultColWidth="6.59765625" defaultRowHeight="15" x14ac:dyDescent="0.2"/>
  <cols>
    <col min="1" max="1" width="8.296875" style="1" customWidth="1"/>
    <col min="2" max="2" width="17.09765625" style="1" customWidth="1"/>
    <col min="3" max="3" width="5.19921875" style="1" customWidth="1"/>
    <col min="4" max="16" width="8.19921875" style="1" customWidth="1"/>
    <col min="17" max="256" width="6.59765625" style="1" customWidth="1"/>
  </cols>
  <sheetData>
    <row r="1" spans="1:256" ht="53.25" customHeight="1" thickBot="1" x14ac:dyDescent="0.25">
      <c r="A1" s="306" t="s">
        <v>121</v>
      </c>
      <c r="B1" s="307"/>
      <c r="C1" s="307"/>
      <c r="D1" s="307"/>
      <c r="E1" s="307"/>
      <c r="F1" s="307"/>
      <c r="G1" s="307"/>
      <c r="H1" s="307"/>
      <c r="I1" s="307"/>
      <c r="J1" s="307"/>
      <c r="K1" s="308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7.25" customHeight="1" thickBot="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" customHeight="1" thickBot="1" x14ac:dyDescent="0.25">
      <c r="A3" s="247" t="s">
        <v>209</v>
      </c>
      <c r="B3" s="248"/>
      <c r="C3" s="248"/>
      <c r="D3" s="248"/>
      <c r="E3" s="248"/>
      <c r="F3" s="248"/>
      <c r="G3" s="248"/>
      <c r="H3" s="248"/>
      <c r="I3" s="248"/>
      <c r="J3" s="248"/>
      <c r="K3" s="24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24" customHeight="1" thickBot="1" x14ac:dyDescent="0.25">
      <c r="A4" s="183" t="s">
        <v>212</v>
      </c>
      <c r="B4" s="184"/>
      <c r="C4" s="184"/>
      <c r="D4" s="184"/>
      <c r="E4" s="184"/>
      <c r="F4" s="184"/>
      <c r="G4" s="184"/>
      <c r="H4" s="184"/>
      <c r="I4" s="184"/>
      <c r="J4" s="184"/>
      <c r="K4" s="18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6.2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B6" s="32" t="s">
        <v>36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thickBot="1" x14ac:dyDescent="0.25">
      <c r="A7" s="32"/>
      <c r="N7" s="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.75" thickBot="1" x14ac:dyDescent="0.25">
      <c r="B8" s="43" t="s">
        <v>39</v>
      </c>
      <c r="C8" s="44"/>
      <c r="D8" s="44"/>
      <c r="E8" s="45"/>
      <c r="N8" s="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B9" s="5" t="s">
        <v>37</v>
      </c>
      <c r="C9" s="149" t="s">
        <v>42</v>
      </c>
      <c r="E9" s="80"/>
      <c r="N9" s="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B10" s="2" t="s">
        <v>38</v>
      </c>
      <c r="C10" s="150" t="s">
        <v>220</v>
      </c>
      <c r="E10" s="1" t="s">
        <v>102</v>
      </c>
      <c r="N10" s="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B11" s="3"/>
      <c r="C11" s="3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B12" s="12" t="s">
        <v>149</v>
      </c>
      <c r="C12" s="3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B13" s="12"/>
      <c r="C13" s="30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.75" thickBot="1" x14ac:dyDescent="0.25"/>
    <row r="15" spans="1:256" x14ac:dyDescent="0.2">
      <c r="B15" s="309" t="s">
        <v>152</v>
      </c>
      <c r="C15" s="310"/>
      <c r="D15" s="78" t="s">
        <v>24</v>
      </c>
      <c r="E15" s="78" t="s">
        <v>47</v>
      </c>
      <c r="F15" s="157">
        <v>1500</v>
      </c>
      <c r="H15" s="1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B16" s="311" t="s">
        <v>8</v>
      </c>
      <c r="C16" s="312"/>
      <c r="D16" s="4" t="s">
        <v>9</v>
      </c>
      <c r="E16" s="4" t="s">
        <v>10</v>
      </c>
      <c r="F16" s="158">
        <v>15</v>
      </c>
      <c r="H16" s="151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2:30" customFormat="1" x14ac:dyDescent="0.2">
      <c r="B17" s="318" t="s">
        <v>16</v>
      </c>
      <c r="C17" s="319"/>
      <c r="D17" s="27" t="s">
        <v>139</v>
      </c>
      <c r="E17" s="172" t="s">
        <v>213</v>
      </c>
      <c r="F17" s="158">
        <v>5</v>
      </c>
      <c r="G17" s="174">
        <f>IF(F17&lt;&gt;0,F17,3600*F18/F33)</f>
        <v>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2:30" customFormat="1" ht="15.75" thickBot="1" x14ac:dyDescent="0.25">
      <c r="B18" s="320"/>
      <c r="C18" s="321"/>
      <c r="D18" s="29" t="s">
        <v>139</v>
      </c>
      <c r="E18" s="173" t="s">
        <v>97</v>
      </c>
      <c r="F18" s="159"/>
      <c r="G18" s="328" t="s">
        <v>214</v>
      </c>
      <c r="H18" s="329"/>
      <c r="I18" s="329"/>
      <c r="J18" s="32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customFormat="1" ht="15.75" thickBo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customFormat="1" ht="15.75" thickBot="1" x14ac:dyDescent="0.25">
      <c r="B20" s="98" t="s">
        <v>133</v>
      </c>
      <c r="C20" s="99"/>
      <c r="D20" s="99"/>
      <c r="E20" s="45"/>
      <c r="F20" s="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customFormat="1" x14ac:dyDescent="0.2">
      <c r="B21" s="208" t="s">
        <v>132</v>
      </c>
      <c r="C21" s="208"/>
      <c r="D21" s="154"/>
      <c r="E21" s="1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customFormat="1" x14ac:dyDescent="0.2">
      <c r="B22" s="208" t="s">
        <v>130</v>
      </c>
      <c r="C22" s="208"/>
      <c r="D22" s="154"/>
      <c r="E22" s="1"/>
      <c r="F22" s="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customFormat="1" x14ac:dyDescent="0.2">
      <c r="B23" s="314" t="s">
        <v>131</v>
      </c>
      <c r="C23" s="314"/>
      <c r="D23" s="155" t="s">
        <v>42</v>
      </c>
      <c r="E23" s="1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customFormat="1" x14ac:dyDescent="0.2">
      <c r="B24" s="180" t="s">
        <v>153</v>
      </c>
      <c r="C24" s="180"/>
      <c r="D24" s="155"/>
      <c r="E24" s="1" t="s">
        <v>154</v>
      </c>
      <c r="F24" s="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customFormat="1" x14ac:dyDescent="0.2">
      <c r="B25" s="100" t="s">
        <v>144</v>
      </c>
      <c r="C25" s="100"/>
      <c r="D25" s="101" t="s">
        <v>145</v>
      </c>
      <c r="E25" s="102">
        <f>IF(D21&lt;&gt;0,25,IF(D22&lt;&gt;0,20,IF(D23&lt;&gt;0,15,D24)))</f>
        <v>15</v>
      </c>
      <c r="F25" s="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customFormat="1" ht="15.75" thickBot="1" x14ac:dyDescent="0.25">
      <c r="B26" s="97"/>
      <c r="C26" s="97"/>
      <c r="D26" s="181"/>
      <c r="E26" s="7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2:30" customFormat="1" x14ac:dyDescent="0.2">
      <c r="B27" s="106" t="s">
        <v>172</v>
      </c>
      <c r="C27" s="114" t="s">
        <v>173</v>
      </c>
      <c r="D27" s="101" t="s">
        <v>47</v>
      </c>
      <c r="E27" s="154">
        <v>400</v>
      </c>
      <c r="F27" s="264" t="s">
        <v>211</v>
      </c>
      <c r="G27" s="265"/>
      <c r="H27" s="315" t="s">
        <v>176</v>
      </c>
      <c r="I27" s="316"/>
      <c r="J27" s="316" t="s">
        <v>177</v>
      </c>
      <c r="K27" s="31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2:30" customFormat="1" x14ac:dyDescent="0.2">
      <c r="B28" s="97"/>
      <c r="C28" s="97"/>
      <c r="D28" s="181"/>
      <c r="E28" s="7"/>
      <c r="F28" s="8"/>
      <c r="G28" s="1"/>
      <c r="H28" s="256" t="s">
        <v>178</v>
      </c>
      <c r="I28" s="268"/>
      <c r="J28" s="268" t="s">
        <v>181</v>
      </c>
      <c r="K28" s="26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2:30" customFormat="1" x14ac:dyDescent="0.2">
      <c r="B29" s="97"/>
      <c r="C29" s="97"/>
      <c r="D29" s="181"/>
      <c r="E29" s="7"/>
      <c r="F29" s="8"/>
      <c r="G29" s="1"/>
      <c r="H29" s="256" t="s">
        <v>179</v>
      </c>
      <c r="I29" s="268"/>
      <c r="J29" s="268" t="s">
        <v>182</v>
      </c>
      <c r="K29" s="26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2:30" customFormat="1" ht="15.75" thickBot="1" x14ac:dyDescent="0.25">
      <c r="B30" s="12" t="s">
        <v>44</v>
      </c>
      <c r="C30" s="3"/>
      <c r="D30" s="3"/>
      <c r="E30" s="3"/>
      <c r="F30" s="3"/>
      <c r="G30" s="1"/>
      <c r="H30" s="273" t="s">
        <v>180</v>
      </c>
      <c r="I30" s="274"/>
      <c r="J30" s="274" t="s">
        <v>183</v>
      </c>
      <c r="K30" s="27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2:30" customFormat="1" x14ac:dyDescent="0.2"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customFormat="1" x14ac:dyDescent="0.2">
      <c r="B32" s="221" t="s">
        <v>0</v>
      </c>
      <c r="C32" s="222"/>
      <c r="D32" s="4" t="s">
        <v>1</v>
      </c>
      <c r="E32" s="4" t="s">
        <v>2</v>
      </c>
      <c r="F32" s="47">
        <f>IF(C9 &lt;&gt;0,101800,43700)</f>
        <v>101800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256" x14ac:dyDescent="0.2">
      <c r="B33" s="221" t="s">
        <v>40</v>
      </c>
      <c r="C33" s="222"/>
      <c r="D33" s="4" t="s">
        <v>41</v>
      </c>
      <c r="E33" s="4" t="s">
        <v>2</v>
      </c>
      <c r="F33" s="47">
        <f>IF(C9&lt;&gt;0,93600,39500)</f>
        <v>93600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B34" s="221" t="s">
        <v>3</v>
      </c>
      <c r="C34" s="222"/>
      <c r="D34" s="4" t="s">
        <v>4</v>
      </c>
      <c r="E34" s="4" t="s">
        <v>5</v>
      </c>
      <c r="F34" s="46">
        <f>IF(C9&lt;&gt;0,1.555,0.61)</f>
        <v>1.5549999999999999</v>
      </c>
      <c r="H34" s="123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B35" s="221" t="s">
        <v>6</v>
      </c>
      <c r="C35" s="222"/>
      <c r="D35" s="11" t="s">
        <v>21</v>
      </c>
      <c r="E35" s="4" t="s">
        <v>155</v>
      </c>
      <c r="F35" s="46">
        <f>IF(C9&lt;&gt;0,0.8,1.06)</f>
        <v>0.8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B36" s="221" t="s">
        <v>45</v>
      </c>
      <c r="C36" s="222"/>
      <c r="D36" s="17" t="s">
        <v>18</v>
      </c>
      <c r="E36" s="4" t="s">
        <v>43</v>
      </c>
      <c r="F36" s="46">
        <f>IF(C9&lt;&gt;0,2.02,0.82)</f>
        <v>2.02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B37" s="97"/>
      <c r="C37" s="97"/>
      <c r="D37" s="11"/>
      <c r="E37" s="7"/>
      <c r="F37" s="103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.75" thickBot="1" x14ac:dyDescent="0.25"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24.75" customHeight="1" thickBot="1" x14ac:dyDescent="0.35">
      <c r="A39" s="135" t="s">
        <v>190</v>
      </c>
      <c r="B39" s="131" t="s">
        <v>136</v>
      </c>
      <c r="C39" s="132"/>
      <c r="D39" s="133"/>
      <c r="E39" s="133"/>
      <c r="F39" s="133"/>
      <c r="G39" s="133"/>
      <c r="H39" s="133"/>
      <c r="I39" s="133"/>
      <c r="J39" s="133"/>
      <c r="K39" s="134"/>
      <c r="L39" s="3"/>
      <c r="M39" s="12"/>
      <c r="N39" s="9"/>
      <c r="O39" s="9"/>
      <c r="P39" s="9"/>
      <c r="Q39" s="9"/>
      <c r="R39" s="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B41" s="313" t="s">
        <v>137</v>
      </c>
      <c r="C41" s="313"/>
      <c r="D41" s="107" t="s">
        <v>138</v>
      </c>
      <c r="E41" s="107" t="s">
        <v>143</v>
      </c>
      <c r="F41" s="108">
        <f>G17*(273+F16)/((1+F15/1000)*273)</f>
        <v>2.1098901098901099</v>
      </c>
      <c r="G41" s="330" t="s">
        <v>215</v>
      </c>
      <c r="H41" s="331"/>
      <c r="I41" s="331"/>
      <c r="J41" s="33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B42" s="267" t="s">
        <v>84</v>
      </c>
      <c r="C42" s="267"/>
      <c r="D42" s="111"/>
      <c r="E42" s="109" t="s">
        <v>97</v>
      </c>
      <c r="F42" s="110">
        <f>IF(F18&lt;&gt;0,F18,F33*F17/3600)</f>
        <v>130</v>
      </c>
      <c r="G42" s="330"/>
      <c r="H42" s="331"/>
      <c r="I42" s="331"/>
      <c r="J42" s="331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.75" thickBot="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24.75" customHeight="1" thickBot="1" x14ac:dyDescent="0.35">
      <c r="A44" s="135" t="s">
        <v>189</v>
      </c>
      <c r="B44" s="131" t="s">
        <v>140</v>
      </c>
      <c r="C44" s="132"/>
      <c r="D44" s="133"/>
      <c r="E44" s="133"/>
      <c r="F44" s="133"/>
      <c r="G44" s="133"/>
      <c r="H44" s="133"/>
      <c r="I44" s="133"/>
      <c r="J44" s="133"/>
      <c r="K44" s="134"/>
      <c r="L44" s="3"/>
      <c r="M44" s="12"/>
      <c r="N44" s="9"/>
      <c r="O44" s="9"/>
      <c r="P44" s="9"/>
      <c r="Q44" s="9"/>
      <c r="R44" s="9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B46" s="327" t="s">
        <v>141</v>
      </c>
      <c r="C46" s="327"/>
      <c r="D46" s="145" t="s">
        <v>142</v>
      </c>
      <c r="E46" s="145" t="s">
        <v>96</v>
      </c>
      <c r="F46" s="146">
        <f>18.8*SQRT(F41/E25)</f>
        <v>7.0508607533149723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B47" s="266" t="s">
        <v>100</v>
      </c>
      <c r="C47" s="266"/>
      <c r="D47" s="126" t="s">
        <v>184</v>
      </c>
      <c r="E47" s="127" t="s">
        <v>99</v>
      </c>
      <c r="F47" s="110">
        <f>$F$41*4/(3600*3.14* ($F$46/1000)^2)</f>
        <v>15.017699259639437</v>
      </c>
      <c r="H47" s="124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thickBot="1" x14ac:dyDescent="0.25">
      <c r="B48" s="142"/>
      <c r="C48" s="142"/>
      <c r="D48" s="143"/>
      <c r="E48" s="144"/>
      <c r="F48" s="124"/>
      <c r="H48" s="124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2:30" customFormat="1" ht="15.75" thickBot="1" x14ac:dyDescent="0.25">
      <c r="B49" s="323" t="s">
        <v>193</v>
      </c>
      <c r="C49" s="324"/>
      <c r="D49" s="324"/>
      <c r="E49" s="32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2:30" customFormat="1" x14ac:dyDescent="0.2">
      <c r="B50" s="332" t="s">
        <v>194</v>
      </c>
      <c r="C50" s="332"/>
      <c r="D50" s="147" t="s">
        <v>78</v>
      </c>
      <c r="E50" s="149">
        <v>2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2:30" customFormat="1" x14ac:dyDescent="0.2">
      <c r="B51" s="208" t="s">
        <v>195</v>
      </c>
      <c r="C51" s="208"/>
      <c r="D51" s="27" t="s">
        <v>208</v>
      </c>
      <c r="E51" s="15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2:30" customFormat="1" x14ac:dyDescent="0.2">
      <c r="B52" s="208" t="s">
        <v>196</v>
      </c>
      <c r="C52" s="208"/>
      <c r="D52" s="27" t="s">
        <v>208</v>
      </c>
      <c r="E52" s="15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2:30" customFormat="1" x14ac:dyDescent="0.2">
      <c r="B53" s="208" t="s">
        <v>197</v>
      </c>
      <c r="C53" s="208"/>
      <c r="D53" s="27" t="s">
        <v>208</v>
      </c>
      <c r="E53" s="15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0" customFormat="1" x14ac:dyDescent="0.2">
      <c r="B54" s="208" t="s">
        <v>198</v>
      </c>
      <c r="C54" s="208"/>
      <c r="D54" s="27" t="s">
        <v>208</v>
      </c>
      <c r="E54" s="15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0" customFormat="1" x14ac:dyDescent="0.2">
      <c r="B55" s="208" t="s">
        <v>199</v>
      </c>
      <c r="C55" s="208"/>
      <c r="D55" s="27" t="s">
        <v>208</v>
      </c>
      <c r="E55" s="15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0" customFormat="1" x14ac:dyDescent="0.2">
      <c r="B56" s="2" t="s">
        <v>200</v>
      </c>
      <c r="C56" s="141"/>
      <c r="D56" s="27" t="s">
        <v>208</v>
      </c>
      <c r="E56" s="150">
        <v>1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30" customFormat="1" x14ac:dyDescent="0.2">
      <c r="B57" s="208" t="s">
        <v>201</v>
      </c>
      <c r="C57" s="208"/>
      <c r="D57" s="27" t="s">
        <v>208</v>
      </c>
      <c r="E57" s="15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30" customFormat="1" x14ac:dyDescent="0.2">
      <c r="B58" s="208" t="s">
        <v>202</v>
      </c>
      <c r="C58" s="208"/>
      <c r="D58" s="27" t="s">
        <v>208</v>
      </c>
      <c r="E58" s="15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30" customFormat="1" x14ac:dyDescent="0.2">
      <c r="B59" s="208" t="s">
        <v>203</v>
      </c>
      <c r="C59" s="208"/>
      <c r="D59" s="27" t="s">
        <v>208</v>
      </c>
      <c r="E59" s="15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30" customFormat="1" x14ac:dyDescent="0.2">
      <c r="B60" s="208" t="s">
        <v>204</v>
      </c>
      <c r="C60" s="208"/>
      <c r="D60" s="27" t="s">
        <v>208</v>
      </c>
      <c r="E60" s="15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30" customFormat="1" x14ac:dyDescent="0.2">
      <c r="B61" s="208" t="s">
        <v>205</v>
      </c>
      <c r="C61" s="208"/>
      <c r="D61" s="27" t="s">
        <v>208</v>
      </c>
      <c r="E61" s="15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30" customFormat="1" x14ac:dyDescent="0.2">
      <c r="B62" s="208" t="s">
        <v>206</v>
      </c>
      <c r="C62" s="208"/>
      <c r="D62" s="27" t="s">
        <v>208</v>
      </c>
      <c r="E62" s="15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30" customFormat="1" x14ac:dyDescent="0.2">
      <c r="B63" s="208" t="s">
        <v>207</v>
      </c>
      <c r="C63" s="208"/>
      <c r="D63" s="27" t="s">
        <v>208</v>
      </c>
      <c r="E63" s="15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30" customFormat="1" x14ac:dyDescent="0.2">
      <c r="B64" s="322"/>
      <c r="C64" s="322"/>
      <c r="D64" s="18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256" x14ac:dyDescent="0.2">
      <c r="B65" s="326" t="s">
        <v>192</v>
      </c>
      <c r="C65" s="326"/>
      <c r="D65" s="139" t="s">
        <v>13</v>
      </c>
      <c r="E65" s="140" t="s">
        <v>78</v>
      </c>
      <c r="F65" s="148">
        <f>E50+(166*E51+70*E52+25*E53+60*E54+40*E55+25*E56+17*E57+16*E58+18*E59+25*E60+100*E61+100*E62+25*E63)*F46/1000</f>
        <v>2.1762715188328743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thickBot="1" x14ac:dyDescent="0.25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24.75" customHeight="1" thickBot="1" x14ac:dyDescent="0.35">
      <c r="A67" s="135" t="s">
        <v>188</v>
      </c>
      <c r="B67" s="131" t="s">
        <v>146</v>
      </c>
      <c r="C67" s="136"/>
      <c r="D67" s="137"/>
      <c r="E67" s="137"/>
      <c r="F67" s="137"/>
      <c r="G67" s="137"/>
      <c r="H67" s="137"/>
      <c r="I67" s="137"/>
      <c r="J67" s="137"/>
      <c r="K67" s="138"/>
      <c r="L67" s="3"/>
      <c r="M67" s="12"/>
      <c r="N67" s="9"/>
      <c r="O67" s="9"/>
      <c r="P67" s="9"/>
      <c r="Q67" s="9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B69" s="286" t="s">
        <v>147</v>
      </c>
      <c r="C69" s="286"/>
      <c r="D69" s="101" t="s">
        <v>148</v>
      </c>
      <c r="E69" s="101" t="s">
        <v>47</v>
      </c>
      <c r="F69" s="104">
        <f>IF(F18&lt;&gt;0,0.5*F34*F65*F18*3600*E25^2/(F46*F41*F33),0.5*F34*F65*F17*E25^2/(F46*F41))</f>
        <v>127.95699261220619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B73" s="288" t="s">
        <v>150</v>
      </c>
      <c r="C73" s="288"/>
      <c r="D73" s="109" t="s">
        <v>151</v>
      </c>
      <c r="E73" s="120" t="s">
        <v>171</v>
      </c>
      <c r="F73" s="113">
        <f>IF(F17&lt;&gt;0,0.45*100000*F17*F34/(F35*F46),0.45*100000*F18*3600*F34/(F33*F35*F46))</f>
        <v>62027.001425943949</v>
      </c>
      <c r="G73" s="113">
        <f>0.45*100000*F17*F34/(F35*F46)</f>
        <v>62027.001425943949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thickBot="1" x14ac:dyDescent="0.25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thickBot="1" x14ac:dyDescent="0.25">
      <c r="B75" s="289" t="s">
        <v>156</v>
      </c>
      <c r="C75" s="290"/>
      <c r="D75" s="2" t="s">
        <v>20</v>
      </c>
      <c r="E75" s="2" t="s">
        <v>116</v>
      </c>
      <c r="F75" s="153">
        <v>0.04</v>
      </c>
      <c r="H75" s="291" t="s">
        <v>169</v>
      </c>
      <c r="I75" s="292"/>
      <c r="J75" s="292"/>
      <c r="K75" s="292"/>
      <c r="L75" s="293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thickBot="1" x14ac:dyDescent="0.25">
      <c r="B76" s="115"/>
      <c r="C76" s="115"/>
      <c r="D76" s="3"/>
      <c r="E76" s="3"/>
      <c r="F76" s="8"/>
      <c r="H76" s="295" t="s">
        <v>33</v>
      </c>
      <c r="I76" s="296"/>
      <c r="J76" s="297"/>
      <c r="K76" s="298" t="s">
        <v>34</v>
      </c>
      <c r="L76" s="299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9"/>
      <c r="B77" s="300" t="s">
        <v>170</v>
      </c>
      <c r="C77" s="300"/>
      <c r="D77" s="3"/>
      <c r="E77" s="3"/>
      <c r="F77" s="3"/>
      <c r="G77" s="3"/>
      <c r="H77" s="301" t="s">
        <v>25</v>
      </c>
      <c r="I77" s="302"/>
      <c r="J77" s="303"/>
      <c r="K77" s="304"/>
      <c r="L77" s="305"/>
      <c r="M77" s="9"/>
      <c r="N77" s="9"/>
      <c r="O77" s="9"/>
      <c r="P77" s="9"/>
      <c r="Q77" s="9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2">
      <c r="B78" s="116" t="s">
        <v>157</v>
      </c>
      <c r="C78" s="116"/>
      <c r="D78" s="116"/>
      <c r="E78" s="116"/>
      <c r="F78" s="117">
        <f>IF(AND(AND($F$42&lt;&gt;0,$F$46&lt;&gt;0),$F$15&lt;&gt;0),-4*LOG10($F$75/(3.7*$F$46)+5.1286/($F$73^0.89)),"")</f>
        <v>10.967733490062438</v>
      </c>
      <c r="H78" s="250" t="s">
        <v>26</v>
      </c>
      <c r="I78" s="281"/>
      <c r="J78" s="282"/>
      <c r="K78" s="270">
        <v>0.01</v>
      </c>
      <c r="L78" s="271"/>
    </row>
    <row r="79" spans="1:256" ht="15" customHeight="1" x14ac:dyDescent="0.2">
      <c r="A79" s="3"/>
      <c r="B79" s="116" t="s">
        <v>158</v>
      </c>
      <c r="C79" s="116"/>
      <c r="D79" s="116"/>
      <c r="E79" s="116"/>
      <c r="F79" s="117">
        <f t="shared" ref="F79:F87" si="0">IF(AND(AND($F$42&lt;&gt;0,$F$46&lt;&gt;0),$F$15&lt;&gt;0),-4*LOG10($F$75/(3.7*$F$46)+1.413*F78/($F$73^0.89)),"")</f>
        <v>10.497792324157063</v>
      </c>
      <c r="G79" s="3"/>
      <c r="H79" s="256" t="s">
        <v>27</v>
      </c>
      <c r="I79" s="268"/>
      <c r="J79" s="269"/>
      <c r="K79" s="270">
        <v>0.05</v>
      </c>
      <c r="L79" s="271"/>
      <c r="M79" s="9"/>
      <c r="N79" s="9"/>
      <c r="O79" s="9"/>
      <c r="P79" s="9"/>
      <c r="Q79" s="9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customHeight="1" x14ac:dyDescent="0.2">
      <c r="A80" s="3"/>
      <c r="B80" s="116" t="s">
        <v>159</v>
      </c>
      <c r="C80" s="116"/>
      <c r="D80" s="116"/>
      <c r="E80" s="116"/>
      <c r="F80" s="117">
        <f t="shared" si="0"/>
        <v>10.524362730920927</v>
      </c>
      <c r="G80" s="3"/>
      <c r="H80" s="283"/>
      <c r="I80" s="284"/>
      <c r="J80" s="285"/>
      <c r="K80" s="270"/>
      <c r="L80" s="271"/>
      <c r="M80" s="9"/>
      <c r="N80" s="9"/>
      <c r="O80" s="9"/>
      <c r="P80" s="9"/>
      <c r="Q80" s="9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2">
      <c r="A81" s="3"/>
      <c r="B81" s="116" t="s">
        <v>160</v>
      </c>
      <c r="C81" s="116"/>
      <c r="D81" s="116"/>
      <c r="E81" s="116"/>
      <c r="F81" s="117">
        <f t="shared" si="0"/>
        <v>10.522849555460716</v>
      </c>
      <c r="G81" s="3"/>
      <c r="H81" s="278" t="s">
        <v>28</v>
      </c>
      <c r="I81" s="279"/>
      <c r="J81" s="280"/>
      <c r="K81" s="270"/>
      <c r="L81" s="271"/>
      <c r="M81" s="9"/>
      <c r="N81" s="9"/>
      <c r="O81" s="9"/>
      <c r="P81" s="9"/>
      <c r="Q81" s="9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customHeight="1" x14ac:dyDescent="0.2">
      <c r="A82" s="3"/>
      <c r="B82" s="116" t="s">
        <v>161</v>
      </c>
      <c r="C82" s="116"/>
      <c r="D82" s="116"/>
      <c r="E82" s="116"/>
      <c r="F82" s="117">
        <f t="shared" si="0"/>
        <v>10.522935694894011</v>
      </c>
      <c r="G82" s="3"/>
      <c r="H82" s="256" t="s">
        <v>29</v>
      </c>
      <c r="I82" s="268"/>
      <c r="J82" s="269"/>
      <c r="K82" s="270">
        <v>0.04</v>
      </c>
      <c r="L82" s="271"/>
      <c r="M82" s="9"/>
      <c r="N82" s="9"/>
      <c r="O82" s="9"/>
      <c r="P82" s="9"/>
      <c r="Q82" s="9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customHeight="1" x14ac:dyDescent="0.2">
      <c r="A83" s="3"/>
      <c r="B83" s="116" t="s">
        <v>162</v>
      </c>
      <c r="C83" s="116"/>
      <c r="D83" s="116"/>
      <c r="E83" s="116"/>
      <c r="F83" s="117">
        <f t="shared" si="0"/>
        <v>10.522930791182803</v>
      </c>
      <c r="G83" s="3"/>
      <c r="H83" s="256" t="s">
        <v>30</v>
      </c>
      <c r="I83" s="268"/>
      <c r="J83" s="269"/>
      <c r="K83" s="270">
        <v>0.08</v>
      </c>
      <c r="L83" s="271"/>
      <c r="M83" s="9"/>
      <c r="N83" s="9"/>
      <c r="O83" s="9"/>
      <c r="P83" s="9"/>
      <c r="Q83" s="9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customHeight="1" x14ac:dyDescent="0.2">
      <c r="A84" s="3"/>
      <c r="B84" s="116" t="s">
        <v>163</v>
      </c>
      <c r="C84" s="116"/>
      <c r="D84" s="116"/>
      <c r="E84" s="116"/>
      <c r="F84" s="117">
        <f t="shared" si="0"/>
        <v>10.522931070338942</v>
      </c>
      <c r="G84" s="3"/>
      <c r="H84" s="256" t="s">
        <v>31</v>
      </c>
      <c r="I84" s="268"/>
      <c r="J84" s="269"/>
      <c r="K84" s="270">
        <v>0.4</v>
      </c>
      <c r="L84" s="271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2">
      <c r="A85" s="3"/>
      <c r="B85" s="116" t="s">
        <v>164</v>
      </c>
      <c r="C85" s="116"/>
      <c r="D85" s="116"/>
      <c r="E85" s="116"/>
      <c r="F85" s="117">
        <f t="shared" si="0"/>
        <v>10.522931054447273</v>
      </c>
      <c r="G85" s="3"/>
      <c r="H85" s="256" t="s">
        <v>32</v>
      </c>
      <c r="I85" s="268"/>
      <c r="J85" s="269"/>
      <c r="K85" s="272">
        <v>0.02</v>
      </c>
      <c r="L85" s="23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customHeight="1" thickBot="1" x14ac:dyDescent="0.25">
      <c r="A86" s="3"/>
      <c r="B86" s="116" t="s">
        <v>165</v>
      </c>
      <c r="C86" s="116"/>
      <c r="D86" s="116"/>
      <c r="E86" s="116"/>
      <c r="F86" s="117">
        <f t="shared" si="0"/>
        <v>10.522931055351947</v>
      </c>
      <c r="G86" s="3"/>
      <c r="H86" s="273" t="s">
        <v>129</v>
      </c>
      <c r="I86" s="274"/>
      <c r="J86" s="275"/>
      <c r="K86" s="276">
        <v>2E-3</v>
      </c>
      <c r="L86" s="27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customHeight="1" thickBot="1" x14ac:dyDescent="0.25">
      <c r="A87" s="3"/>
      <c r="B87" s="111" t="s">
        <v>166</v>
      </c>
      <c r="C87" s="111"/>
      <c r="D87" s="111"/>
      <c r="E87" s="111"/>
      <c r="F87" s="118">
        <f t="shared" si="0"/>
        <v>10.522931055300447</v>
      </c>
      <c r="G87" s="3"/>
      <c r="H87" s="240" t="s">
        <v>35</v>
      </c>
      <c r="I87" s="241"/>
      <c r="J87" s="241"/>
      <c r="K87" s="241"/>
      <c r="L87" s="24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3"/>
      <c r="B90" s="286" t="s">
        <v>167</v>
      </c>
      <c r="C90" s="286"/>
      <c r="D90" s="114" t="s">
        <v>168</v>
      </c>
      <c r="E90" s="101" t="s">
        <v>47</v>
      </c>
      <c r="F90" s="102">
        <f>F69*50/F87^2</f>
        <v>57.77774378009893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3"/>
      <c r="B91" s="263" t="s">
        <v>141</v>
      </c>
      <c r="C91" s="263"/>
      <c r="D91" s="125" t="s">
        <v>142</v>
      </c>
      <c r="E91" s="125" t="s">
        <v>96</v>
      </c>
      <c r="F91" s="168">
        <f>F46</f>
        <v>7.0508607533149723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20.25" x14ac:dyDescent="0.2">
      <c r="A93" s="3"/>
      <c r="B93" s="186" t="str">
        <f>IF(F90&gt;=E27,"Tryktab for stort. Gå til pkt 4. nedenfor","Tryktab mindre end tilladeligt tryktab. Rørdiameter ok")</f>
        <v>Tryktab mindre end tilladeligt tryktab. Rørdiameter ok</v>
      </c>
      <c r="C93" s="186"/>
      <c r="D93" s="186"/>
      <c r="E93" s="186"/>
      <c r="F93" s="186"/>
      <c r="G93" s="186"/>
      <c r="H93" s="186"/>
      <c r="I93" s="186"/>
      <c r="J93" s="18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8" x14ac:dyDescent="0.25">
      <c r="A95" s="3"/>
      <c r="B95" s="294" t="s">
        <v>186</v>
      </c>
      <c r="C95" s="294"/>
      <c r="D95" s="294"/>
      <c r="E95" s="294"/>
      <c r="F95" s="294"/>
      <c r="G95" s="294"/>
      <c r="H95" s="294"/>
      <c r="I95" s="294"/>
      <c r="J95" s="29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thickBo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24.75" customHeight="1" thickBot="1" x14ac:dyDescent="0.35">
      <c r="A97" s="135" t="s">
        <v>187</v>
      </c>
      <c r="B97" s="131" t="s">
        <v>191</v>
      </c>
      <c r="C97" s="136"/>
      <c r="D97" s="137"/>
      <c r="E97" s="137"/>
      <c r="F97" s="137"/>
      <c r="G97" s="137"/>
      <c r="H97" s="137"/>
      <c r="I97" s="137"/>
      <c r="J97" s="137"/>
      <c r="K97" s="1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B99" s="179" t="s">
        <v>185</v>
      </c>
      <c r="C99" s="179"/>
      <c r="D99" s="114" t="s">
        <v>15</v>
      </c>
      <c r="E99" s="101" t="s">
        <v>96</v>
      </c>
      <c r="F99" s="104">
        <f>(($F$90/$E$27)^0.2)*$F$46</f>
        <v>4.7883099568383658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B100" s="287" t="s">
        <v>210</v>
      </c>
      <c r="C100" s="287"/>
      <c r="D100" s="128" t="s">
        <v>15</v>
      </c>
      <c r="E100" s="125" t="s">
        <v>96</v>
      </c>
      <c r="F100" s="156">
        <v>10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thickBot="1" x14ac:dyDescent="0.25">
      <c r="G101" s="1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thickBot="1" x14ac:dyDescent="0.25">
      <c r="B102" s="267" t="s">
        <v>100</v>
      </c>
      <c r="C102" s="267"/>
      <c r="D102" s="120" t="s">
        <v>184</v>
      </c>
      <c r="E102" s="109" t="s">
        <v>99</v>
      </c>
      <c r="F102" s="129">
        <f>$F$41*4/(3600*3.14* ($F$100/1000)^2)</f>
        <v>7.4659947271412239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B105" s="288" t="s">
        <v>150</v>
      </c>
      <c r="C105" s="288"/>
      <c r="D105" s="109" t="s">
        <v>151</v>
      </c>
      <c r="E105" s="120" t="s">
        <v>171</v>
      </c>
      <c r="F105" s="113">
        <f>IF(F18&lt;&gt;0,0.45*100000*$F$18*3600*$F$34/($F$35*F100*F33),0.45*100000*$F$17*$F$34/($F$35*F100))</f>
        <v>43734.375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thickBot="1" x14ac:dyDescent="0.25"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thickBot="1" x14ac:dyDescent="0.25">
      <c r="B107" s="289" t="s">
        <v>156</v>
      </c>
      <c r="C107" s="290"/>
      <c r="D107" s="2" t="s">
        <v>20</v>
      </c>
      <c r="E107" s="2" t="s">
        <v>116</v>
      </c>
      <c r="F107" s="153">
        <v>0.04</v>
      </c>
      <c r="H107" s="291" t="s">
        <v>169</v>
      </c>
      <c r="I107" s="292"/>
      <c r="J107" s="292"/>
      <c r="K107" s="292"/>
      <c r="L107" s="2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thickBot="1" x14ac:dyDescent="0.25">
      <c r="B108" s="115"/>
      <c r="C108" s="115"/>
      <c r="D108" s="3"/>
      <c r="E108" s="3"/>
      <c r="F108" s="8"/>
      <c r="H108" s="295" t="s">
        <v>33</v>
      </c>
      <c r="I108" s="296"/>
      <c r="J108" s="297"/>
      <c r="K108" s="298" t="s">
        <v>34</v>
      </c>
      <c r="L108" s="29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9"/>
      <c r="B109" s="300" t="s">
        <v>170</v>
      </c>
      <c r="C109" s="300"/>
      <c r="D109" s="3"/>
      <c r="E109" s="3"/>
      <c r="F109" s="3"/>
      <c r="G109" s="3"/>
      <c r="H109" s="301" t="s">
        <v>25</v>
      </c>
      <c r="I109" s="302"/>
      <c r="J109" s="303"/>
      <c r="K109" s="304"/>
      <c r="L109" s="30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B110" s="116" t="s">
        <v>157</v>
      </c>
      <c r="C110" s="116"/>
      <c r="D110" s="116"/>
      <c r="E110" s="116"/>
      <c r="F110" s="117">
        <f>IF(AND(AND($F$42&lt;&gt;0,$F$100&lt;&gt;0),$F$15&lt;&gt;0),-4*LOG10($F$107/(3.7*$F$100)+5.1286/($F$105^0.89)),"")</f>
        <v>11.341424615033606</v>
      </c>
      <c r="H110" s="250" t="s">
        <v>26</v>
      </c>
      <c r="I110" s="281"/>
      <c r="J110" s="282"/>
      <c r="K110" s="270">
        <v>0.01</v>
      </c>
      <c r="L110" s="27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3"/>
      <c r="B111" s="116" t="s">
        <v>158</v>
      </c>
      <c r="C111" s="116"/>
      <c r="D111" s="116"/>
      <c r="E111" s="116"/>
      <c r="F111" s="117">
        <f t="shared" ref="F111:F118" si="1">IF(AND(AND($F$42&lt;&gt;0,$F$100&lt;&gt;0),$F$15&lt;&gt;0),-4*LOG10($F$107/(3.7*$F$100)+1.413*F110/($F$105^0.89)),"")</f>
        <v>10.577309905021613</v>
      </c>
      <c r="G111" s="3"/>
      <c r="H111" s="256" t="s">
        <v>27</v>
      </c>
      <c r="I111" s="268"/>
      <c r="J111" s="269"/>
      <c r="K111" s="270">
        <v>0.05</v>
      </c>
      <c r="L111" s="27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3"/>
      <c r="B112" s="116" t="s">
        <v>159</v>
      </c>
      <c r="C112" s="116"/>
      <c r="D112" s="116"/>
      <c r="E112" s="116"/>
      <c r="F112" s="117">
        <f t="shared" si="1"/>
        <v>10.639670734519619</v>
      </c>
      <c r="G112" s="3"/>
      <c r="H112" s="283"/>
      <c r="I112" s="284"/>
      <c r="J112" s="285"/>
      <c r="K112" s="270"/>
      <c r="L112" s="27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3"/>
      <c r="B113" s="116" t="s">
        <v>160</v>
      </c>
      <c r="C113" s="116"/>
      <c r="D113" s="116"/>
      <c r="E113" s="116"/>
      <c r="F113" s="117">
        <f t="shared" si="1"/>
        <v>10.634496612064952</v>
      </c>
      <c r="G113" s="3"/>
      <c r="H113" s="278" t="s">
        <v>28</v>
      </c>
      <c r="I113" s="279"/>
      <c r="J113" s="280"/>
      <c r="K113" s="270"/>
      <c r="L113" s="27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3"/>
      <c r="B114" s="116" t="s">
        <v>161</v>
      </c>
      <c r="C114" s="116"/>
      <c r="D114" s="116"/>
      <c r="E114" s="116"/>
      <c r="F114" s="117">
        <f t="shared" si="1"/>
        <v>10.634925326893981</v>
      </c>
      <c r="G114" s="3"/>
      <c r="H114" s="256" t="s">
        <v>29</v>
      </c>
      <c r="I114" s="268"/>
      <c r="J114" s="269"/>
      <c r="K114" s="270">
        <v>0.04</v>
      </c>
      <c r="L114" s="27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3"/>
      <c r="B115" s="116" t="s">
        <v>162</v>
      </c>
      <c r="C115" s="116"/>
      <c r="D115" s="116"/>
      <c r="E115" s="116"/>
      <c r="F115" s="117">
        <f t="shared" si="1"/>
        <v>10.634889800636554</v>
      </c>
      <c r="G115" s="3"/>
      <c r="H115" s="256" t="s">
        <v>30</v>
      </c>
      <c r="I115" s="268"/>
      <c r="J115" s="269"/>
      <c r="K115" s="270">
        <v>0.08</v>
      </c>
      <c r="L115" s="27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3"/>
      <c r="B116" s="116" t="s">
        <v>163</v>
      </c>
      <c r="C116" s="116"/>
      <c r="D116" s="116"/>
      <c r="E116" s="116"/>
      <c r="F116" s="117">
        <f t="shared" si="1"/>
        <v>10.634892744558821</v>
      </c>
      <c r="G116" s="3"/>
      <c r="H116" s="256" t="s">
        <v>31</v>
      </c>
      <c r="I116" s="268"/>
      <c r="J116" s="269"/>
      <c r="K116" s="270">
        <v>0.4</v>
      </c>
      <c r="L116" s="27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3"/>
      <c r="B117" s="116" t="s">
        <v>164</v>
      </c>
      <c r="C117" s="116"/>
      <c r="D117" s="116"/>
      <c r="E117" s="116"/>
      <c r="F117" s="117">
        <f t="shared" si="1"/>
        <v>10.634892500607284</v>
      </c>
      <c r="G117" s="3"/>
      <c r="H117" s="256" t="s">
        <v>32</v>
      </c>
      <c r="I117" s="268"/>
      <c r="J117" s="269"/>
      <c r="K117" s="272">
        <v>0.02</v>
      </c>
      <c r="L117" s="23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thickBot="1" x14ac:dyDescent="0.25">
      <c r="A118" s="3"/>
      <c r="B118" s="116" t="s">
        <v>165</v>
      </c>
      <c r="C118" s="116"/>
      <c r="D118" s="116"/>
      <c r="E118" s="116"/>
      <c r="F118" s="117">
        <f t="shared" si="1"/>
        <v>10.634892520822611</v>
      </c>
      <c r="G118" s="3"/>
      <c r="H118" s="273" t="s">
        <v>129</v>
      </c>
      <c r="I118" s="274"/>
      <c r="J118" s="275"/>
      <c r="K118" s="276">
        <v>2E-3</v>
      </c>
      <c r="L118" s="27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thickBot="1" x14ac:dyDescent="0.25">
      <c r="A119" s="3"/>
      <c r="B119" s="111" t="s">
        <v>166</v>
      </c>
      <c r="C119" s="111"/>
      <c r="D119" s="111"/>
      <c r="E119" s="111"/>
      <c r="F119" s="118">
        <f>IF(AND(AND($F$42&lt;&gt;0,$F$46&lt;&gt;0),$F$15&lt;&gt;0),-4*LOG10($F$107/(3.7*$F$46)+1.413*F118/($F$73^0.89)),"")</f>
        <v>10.516569029782591</v>
      </c>
      <c r="G119" s="3"/>
      <c r="H119" s="240" t="s">
        <v>35</v>
      </c>
      <c r="I119" s="241"/>
      <c r="J119" s="241"/>
      <c r="K119" s="241"/>
      <c r="L119" s="24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3"/>
      <c r="B122" s="286" t="s">
        <v>167</v>
      </c>
      <c r="C122" s="286"/>
      <c r="D122" s="114" t="s">
        <v>168</v>
      </c>
      <c r="E122" s="101" t="s">
        <v>47</v>
      </c>
      <c r="F122" s="102">
        <f>IF(F18&lt;&gt;0,3.24*F41*F18*3600*F65*F34*1000000/(F33*F119^2*F100^5),3.24*F41*F17*F65*F34*1000000/(F119^2*F100^5))</f>
        <v>10.458518501355679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20.25" x14ac:dyDescent="0.2">
      <c r="A124" s="3"/>
      <c r="B124" s="186" t="str">
        <f>IF(F122&gt;=E27,"Tryktab for stort. Vælg større rørdiameter","Tryktab mindre end tilladeligt tryktab. Rørdiameter ok")</f>
        <v>Tryktab mindre end tilladeligt tryktab. Rørdiameter ok</v>
      </c>
      <c r="C124" s="186"/>
      <c r="D124" s="186"/>
      <c r="E124" s="186"/>
      <c r="F124" s="186"/>
      <c r="G124" s="186"/>
      <c r="H124" s="186"/>
      <c r="I124" s="186"/>
      <c r="J124" s="186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20.25" customHeight="1" x14ac:dyDescent="0.2">
      <c r="A126" s="3"/>
      <c r="B126" s="186" t="str">
        <f>IF(F102&gt;=E25,"Flowhastighed for stor, vælg størrer rørdiameter","Flowhastighed mindre end maksimal tilladelig. Rørdiameter ok")</f>
        <v>Flowhastighed mindre end maksimal tilladelig. Rørdiameter ok</v>
      </c>
      <c r="C126" s="186"/>
      <c r="D126" s="186"/>
      <c r="E126" s="186"/>
      <c r="F126" s="186"/>
      <c r="G126" s="186"/>
      <c r="H126" s="186"/>
      <c r="I126" s="186"/>
      <c r="J126" s="186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</sheetData>
  <mergeCells count="109">
    <mergeCell ref="B21:C21"/>
    <mergeCell ref="B22:C22"/>
    <mergeCell ref="B23:C23"/>
    <mergeCell ref="F27:G27"/>
    <mergeCell ref="H27:I27"/>
    <mergeCell ref="J27:K27"/>
    <mergeCell ref="A1:K1"/>
    <mergeCell ref="A3:K3"/>
    <mergeCell ref="A4:K4"/>
    <mergeCell ref="B15:C15"/>
    <mergeCell ref="B16:C16"/>
    <mergeCell ref="B17:C18"/>
    <mergeCell ref="G18:J18"/>
    <mergeCell ref="B32:C32"/>
    <mergeCell ref="B33:C33"/>
    <mergeCell ref="B34:C34"/>
    <mergeCell ref="B35:C35"/>
    <mergeCell ref="B36:C36"/>
    <mergeCell ref="B41:C41"/>
    <mergeCell ref="H28:I28"/>
    <mergeCell ref="J28:K28"/>
    <mergeCell ref="H29:I29"/>
    <mergeCell ref="J29:K29"/>
    <mergeCell ref="H30:I30"/>
    <mergeCell ref="J30:K30"/>
    <mergeCell ref="B51:C51"/>
    <mergeCell ref="B52:C52"/>
    <mergeCell ref="B53:C53"/>
    <mergeCell ref="B54:C54"/>
    <mergeCell ref="B55:C55"/>
    <mergeCell ref="B57:C57"/>
    <mergeCell ref="G41:J42"/>
    <mergeCell ref="B42:C42"/>
    <mergeCell ref="B46:C46"/>
    <mergeCell ref="B47:C47"/>
    <mergeCell ref="B49:E49"/>
    <mergeCell ref="B50:C50"/>
    <mergeCell ref="B64:C64"/>
    <mergeCell ref="B65:C65"/>
    <mergeCell ref="B69:C69"/>
    <mergeCell ref="B73:C73"/>
    <mergeCell ref="B75:C75"/>
    <mergeCell ref="H75:L75"/>
    <mergeCell ref="B58:C58"/>
    <mergeCell ref="B59:C59"/>
    <mergeCell ref="B60:C60"/>
    <mergeCell ref="B61:C61"/>
    <mergeCell ref="B62:C62"/>
    <mergeCell ref="B63:C63"/>
    <mergeCell ref="H79:J79"/>
    <mergeCell ref="K79:L79"/>
    <mergeCell ref="H80:J80"/>
    <mergeCell ref="K80:L80"/>
    <mergeCell ref="H81:J81"/>
    <mergeCell ref="K81:L81"/>
    <mergeCell ref="H76:J76"/>
    <mergeCell ref="K76:L76"/>
    <mergeCell ref="B77:C77"/>
    <mergeCell ref="H77:J77"/>
    <mergeCell ref="K77:L77"/>
    <mergeCell ref="H78:J78"/>
    <mergeCell ref="K78:L78"/>
    <mergeCell ref="H85:J85"/>
    <mergeCell ref="K85:L85"/>
    <mergeCell ref="H86:J86"/>
    <mergeCell ref="K86:L86"/>
    <mergeCell ref="H87:L87"/>
    <mergeCell ref="B90:C90"/>
    <mergeCell ref="H82:J82"/>
    <mergeCell ref="K82:L82"/>
    <mergeCell ref="H83:J83"/>
    <mergeCell ref="K83:L83"/>
    <mergeCell ref="H84:J84"/>
    <mergeCell ref="K84:L84"/>
    <mergeCell ref="B107:C107"/>
    <mergeCell ref="H107:L107"/>
    <mergeCell ref="H108:J108"/>
    <mergeCell ref="K108:L108"/>
    <mergeCell ref="B109:C109"/>
    <mergeCell ref="H109:J109"/>
    <mergeCell ref="K109:L109"/>
    <mergeCell ref="B91:C91"/>
    <mergeCell ref="B93:J93"/>
    <mergeCell ref="B95:J95"/>
    <mergeCell ref="B100:C100"/>
    <mergeCell ref="B102:C102"/>
    <mergeCell ref="B105:C105"/>
    <mergeCell ref="H113:J113"/>
    <mergeCell ref="K113:L113"/>
    <mergeCell ref="H114:J114"/>
    <mergeCell ref="K114:L114"/>
    <mergeCell ref="H115:J115"/>
    <mergeCell ref="K115:L115"/>
    <mergeCell ref="H110:J110"/>
    <mergeCell ref="K110:L110"/>
    <mergeCell ref="H111:J111"/>
    <mergeCell ref="K111:L111"/>
    <mergeCell ref="H112:J112"/>
    <mergeCell ref="K112:L112"/>
    <mergeCell ref="H119:L119"/>
    <mergeCell ref="B122:C122"/>
    <mergeCell ref="B124:J124"/>
    <mergeCell ref="B126:J126"/>
    <mergeCell ref="H116:J116"/>
    <mergeCell ref="K116:L116"/>
    <mergeCell ref="H117:J117"/>
    <mergeCell ref="K117:L117"/>
    <mergeCell ref="H118:J118"/>
    <mergeCell ref="K118:L118"/>
  </mergeCells>
  <conditionalFormatting sqref="B93:J93">
    <cfRule type="expression" dxfId="18" priority="3">
      <formula>$F$90&lt;$E$27</formula>
    </cfRule>
    <cfRule type="expression" dxfId="17" priority="4">
      <formula>$H$116&lt;$F$25</formula>
    </cfRule>
  </conditionalFormatting>
  <conditionalFormatting sqref="B124:J124">
    <cfRule type="expression" dxfId="16" priority="1">
      <formula>$F$122&lt;$E$27</formula>
    </cfRule>
    <cfRule type="expression" dxfId="15" priority="2">
      <formula>$F$122&lt;$E$27</formula>
    </cfRule>
  </conditionalFormatting>
  <conditionalFormatting sqref="B126:J126">
    <cfRule type="expression" dxfId="14" priority="5">
      <formula>F102&lt;E25</formula>
    </cfRule>
    <cfRule type="expression" dxfId="13" priority="6">
      <formula>"F82&lt;E22"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Tryk &lt;100mbar (GR.A)</vt:lpstr>
      <vt:lpstr>Tryk &gt;100 mbar (GR.B-4)</vt:lpstr>
      <vt:lpstr>indvendig diameter</vt:lpstr>
      <vt:lpstr>gashastighed</vt:lpstr>
      <vt:lpstr>EKS 1 side 145 B-4</vt:lpstr>
      <vt:lpstr>EKS 2 side 146 B-4</vt:lpstr>
      <vt:lpstr>EKS 3 side 147 B-4</vt:lpstr>
      <vt:lpstr>gul</vt:lpstr>
      <vt:lpstr>grøn</vt:lpstr>
      <vt:lpstr>blå</vt:lpstr>
      <vt:lpstr>pink</vt:lpstr>
      <vt:lpstr>orange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Dahl Jørgensen - Kosan Crisplant</dc:creator>
  <cp:lastModifiedBy>Per Toftdal</cp:lastModifiedBy>
  <cp:lastPrinted>2016-02-05T13:52:48Z</cp:lastPrinted>
  <dcterms:created xsi:type="dcterms:W3CDTF">2015-10-13T06:43:44Z</dcterms:created>
  <dcterms:modified xsi:type="dcterms:W3CDTF">2016-12-07T12:08:48Z</dcterms:modified>
</cp:coreProperties>
</file>